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drawings/drawing6.xml" ContentType="application/vnd.openxmlformats-officedocument.drawing+xml"/>
  <Override PartName="/xl/comments8.xml" ContentType="application/vnd.openxmlformats-officedocument.spreadsheetml.comments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1600" windowHeight="11880" tabRatio="888" activeTab="6"/>
  </bookViews>
  <sheets>
    <sheet name="기준년도설정" sheetId="48" r:id="rId1"/>
    <sheet name="exptE-FD-H_pc_od_zone_O_YYMMDD" sheetId="61" r:id="rId2"/>
    <sheet name="exptE-FD-H_pc_od_zone_D_YYMMDD" sheetId="62" r:id="rId3"/>
    <sheet name="exptE-FD-H_bus_od_zone_O_YYMMDD" sheetId="63" r:id="rId4"/>
    <sheet name="exptE-FD-H_bus_od_zone_D_YYMMDD" sheetId="64" r:id="rId5"/>
    <sheet name="exptE-FD-F_fod_zone_O_YYMMDD" sheetId="65" r:id="rId6"/>
    <sheet name="exptE-FD-F_fod_zone_D_YYMMDD" sheetId="66" r:id="rId7"/>
    <sheet name="exptD-FD-H_pc_od_zone_O_YYMMDD" sheetId="67" r:id="rId8"/>
    <sheet name="exptD-FD-H_pc_od_zone_D_YYMMDD" sheetId="68" r:id="rId9"/>
    <sheet name="exptD-FD-H_bus_od_zone_O_YYMMDD" sheetId="69" r:id="rId10"/>
    <sheet name="exptD-FD-H_bus_od_zone_D_YYMMDD" sheetId="70" r:id="rId11"/>
    <sheet name="exptD-FD-F_fod_zone_O_YYMMDD" sheetId="71" r:id="rId12"/>
    <sheet name="exptD-FD-F_fod_zone_D_YYMMDD" sheetId="72" r:id="rId13"/>
    <sheet name="exptC-FD-H_pc_od_zone_O_YYMMDD" sheetId="73" r:id="rId14"/>
    <sheet name="exptC-FD-H_pc_od_zone_D_YYMMDD" sheetId="74" r:id="rId15"/>
    <sheet name="exptC-FD-H_bus_od_zone_O_YYMMDD" sheetId="75" r:id="rId16"/>
    <sheet name="exptC-FD-H_bus_od_zone_D_YYMMDD" sheetId="76" r:id="rId17"/>
    <sheet name="exptC-FD-F_fod_zone_O_YYMMDD" sheetId="77" r:id="rId18"/>
    <sheet name="exptC-FD-F_fod_zone_D_YYMMDD" sheetId="78" r:id="rId19"/>
    <sheet name="exptB-FD-H_pc_od_zone_O_YYMMDD" sheetId="79" r:id="rId20"/>
    <sheet name="exptB-FD-H_pc_od_zone_D_YYMMDD" sheetId="80" r:id="rId21"/>
    <sheet name="exptB-FD-H_bus_od_zone_O_YYMMDD" sheetId="81" r:id="rId22"/>
    <sheet name="exptB-FD-H_bus_od_zone_D_YYMMDD" sheetId="82" r:id="rId23"/>
    <sheet name="exptB-FD-F_fod_zone_O_YYMMDD" sheetId="83" r:id="rId24"/>
    <sheet name="exptB-FD-F_fod_zone_D_YYMMDD" sheetId="84" r:id="rId25"/>
    <sheet name="exptA-FD-H_pc_od_zone_O_YYMMDD" sheetId="85" r:id="rId26"/>
    <sheet name="exptA-FD-H_pc_od_zone_D_YYMMDD" sheetId="86" r:id="rId27"/>
    <sheet name="exptA-FD-H_bus_od_zone_O_YYMMDD" sheetId="87" r:id="rId28"/>
    <sheet name="exptA-FD-H_bus_od_zone_D_YYMMDD" sheetId="88" r:id="rId29"/>
    <sheet name="exptA-FD-F_fod_zone_O_YYMMDD" sheetId="89" r:id="rId30"/>
    <sheet name="exptA-FD-F_fod_zone_D_YYMMDD" sheetId="90" r:id="rId31"/>
    <sheet name="NON-FD-H_pc_od_zone_O_YYMMDD" sheetId="41" r:id="rId32"/>
    <sheet name="NON-FD-H_pc_od_zone_D_YYMMDD" sheetId="42" r:id="rId33"/>
    <sheet name="NON-FD-H_bus_od_zone_O_YYMMDD" sheetId="43" r:id="rId34"/>
    <sheet name="NON-FD-H_bus_od_zone_D_YYMMDD" sheetId="44" r:id="rId35"/>
    <sheet name="NON-FD-F_fod_zone_O_YYMMDD " sheetId="45" r:id="rId36"/>
    <sheet name="NON-FD-F_fod_zone_D_YYMMDD" sheetId="46" r:id="rId37"/>
    <sheet name="onlyA-FD-H_pc_od_zone_O_YYMMDD" sheetId="23" r:id="rId38"/>
    <sheet name="onlyA-FD-H_pc_od_zone_D_YYMMDD" sheetId="24" r:id="rId39"/>
    <sheet name="onlyA-FD-H_bus_od_zone_O_YYMMDD" sheetId="25" r:id="rId40"/>
    <sheet name="onlyA-FD-H_bus_od_zone_D_YYMMDD" sheetId="26" r:id="rId41"/>
    <sheet name="onlyA-FD-F_fod_zone_O_YYMMDD" sheetId="27" r:id="rId42"/>
    <sheet name="onlyA-FD-F_fod_zone_D_YYMMDD" sheetId="28" r:id="rId43"/>
    <sheet name="onlyB-FD-H_pc_od_zone_O_YYMMDD" sheetId="29" r:id="rId44"/>
    <sheet name="onlyB-FD-H_pc_od_zone_D_YYMMDD" sheetId="30" r:id="rId45"/>
    <sheet name="onlyB-FD-H_bus_od_zone_O_YYMMDD" sheetId="31" r:id="rId46"/>
    <sheet name="onlyB-FD-H_bus_od_zone_D_YYMMDD" sheetId="32" r:id="rId47"/>
    <sheet name="onlyB-FD-F_fod_zone_O_YYMMDD" sheetId="33" r:id="rId48"/>
    <sheet name="onlyB-FD-F_fod_zone_D_YYMMDD" sheetId="34" r:id="rId49"/>
    <sheet name="onlyC-FD-H_pc_od_zone_O_YYMMDD" sheetId="35" r:id="rId50"/>
    <sheet name="onlyC-FD-H_pc_od_zone_D_YYMMDD" sheetId="36" r:id="rId51"/>
    <sheet name="onlyC-FD-H_bus_od_zone_O_YYMMDD" sheetId="37" r:id="rId52"/>
    <sheet name="onlyC-FD-H_bus_od_zone_D_YYMMDD" sheetId="38" r:id="rId53"/>
    <sheet name="onlyC-FD-F_fod_zone_O_YYMMDD" sheetId="39" r:id="rId54"/>
    <sheet name="onlyC-FD-F_fod_zone_D_YYMMDD" sheetId="40" r:id="rId55"/>
    <sheet name="onlyD-FD-H_pc_od_zone_O_YYMMDD" sheetId="49" r:id="rId56"/>
    <sheet name="onlyD-FD-H_pc_od_zone_D_YYMMDD" sheetId="50" r:id="rId57"/>
    <sheet name="onlyD-FD-H_bus_od_zone_O_YYMMDD" sheetId="51" r:id="rId58"/>
    <sheet name="onlyD-FD-H_bus_od_zone_D_YYMMDD" sheetId="52" r:id="rId59"/>
    <sheet name="onlyD-FD-F_fod_zone_O_YYMMDD" sheetId="53" r:id="rId60"/>
    <sheet name="onlyD-FD-F_fod_zone_D_YYMMDD" sheetId="54" r:id="rId61"/>
    <sheet name="onlyE-FD-H_pc_od_zone_O_YYMMDD" sheetId="55" r:id="rId62"/>
    <sheet name="onlyE-FD-H_pc_od_zone_D_YYMMDD" sheetId="56" r:id="rId63"/>
    <sheet name="onlyE-FD-H_bus_od_zone_O_YYMMDD" sheetId="57" r:id="rId64"/>
    <sheet name="onlyE-FD-H_bus_od_zone_D_YYMMDD" sheetId="58" r:id="rId65"/>
    <sheet name="onlyE-FD-F_fod_zone_O_YYMMDD " sheetId="59" r:id="rId66"/>
    <sheet name="onlyE-FD-F_fod_zone_D_YYMMDD" sheetId="60" r:id="rId67"/>
    <sheet name="ALL-FD-H_pc_od_zone_O_YYMMDD" sheetId="16" r:id="rId68"/>
    <sheet name="ALL-FD-H_pc_od_zone_D_YYMMDD" sheetId="17" r:id="rId69"/>
    <sheet name="ALL-FD-H_bus_od_zone_O_YYMMDD" sheetId="18" r:id="rId70"/>
    <sheet name="ALL-FD-H_bus_od_zone_D_YYMMDD" sheetId="19" r:id="rId71"/>
    <sheet name="ALL-FD-F_fod_zone_O_YYMMDD" sheetId="20" r:id="rId72"/>
    <sheet name="ALL-FD-F_fod_zone_D_YYMMDD" sheetId="21" r:id="rId73"/>
    <sheet name="E.관광문화단지(849301)_수정" sheetId="15" r:id="rId74"/>
    <sheet name="D.cj라이브시티(849201)_수정" sheetId="14" r:id="rId75"/>
    <sheet name="C.장항공공주택지구(849992)" sheetId="13" r:id="rId76"/>
    <sheet name="B.고양영상밸리(849991)_수정" sheetId="12" r:id="rId77"/>
    <sheet name="A.일산테크노밸리(859991)_수정" sheetId="8" r:id="rId78"/>
    <sheet name="고양시_Modal_split" sheetId="9" r:id="rId79"/>
    <sheet name="고양시_재차인원" sheetId="10" r:id="rId80"/>
    <sheet name="KTDB_발생량도착량_증가율" sheetId="22" r:id="rId81"/>
    <sheet name="KTDB_TripDistribution_2040" sheetId="7" r:id="rId82"/>
    <sheet name="장항공공주택지구_통행량제외분" sheetId="47" r:id="rId83"/>
    <sheet name="S1" sheetId="3" r:id="rId84"/>
    <sheet name="일산테크노밸리" sheetId="1" r:id="rId85"/>
    <sheet name="고양영상밸리" sheetId="2" r:id="rId86"/>
    <sheet name="징힝공공주택지구" sheetId="4" r:id="rId87"/>
    <sheet name="cj라이브시티" sheetId="5" r:id="rId88"/>
    <sheet name="관광문화단지" sheetId="6" r:id="rId89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I140" i="8" l="1"/>
  <c r="EH140" i="8"/>
  <c r="EJ140" i="8"/>
  <c r="EI91" i="8"/>
  <c r="B2" i="63" s="1"/>
  <c r="EH91" i="8"/>
  <c r="EJ91" i="8"/>
  <c r="B2" i="77" s="1"/>
  <c r="A2" i="90"/>
  <c r="A2" i="89"/>
  <c r="C2" i="88"/>
  <c r="A2" i="88"/>
  <c r="C2" i="87"/>
  <c r="A2" i="87"/>
  <c r="C2" i="86"/>
  <c r="A2" i="86"/>
  <c r="C2" i="85"/>
  <c r="A2" i="85"/>
  <c r="B2" i="84"/>
  <c r="A2" i="84"/>
  <c r="A2" i="83"/>
  <c r="C2" i="82"/>
  <c r="B2" i="82"/>
  <c r="A2" i="82"/>
  <c r="C2" i="81"/>
  <c r="A2" i="81"/>
  <c r="C2" i="80"/>
  <c r="B2" i="80"/>
  <c r="A2" i="80"/>
  <c r="C2" i="79"/>
  <c r="B2" i="79"/>
  <c r="A2" i="79"/>
  <c r="B2" i="78"/>
  <c r="A2" i="78"/>
  <c r="A2" i="77"/>
  <c r="C2" i="76"/>
  <c r="B2" i="76"/>
  <c r="A2" i="76"/>
  <c r="C2" i="75"/>
  <c r="A2" i="75"/>
  <c r="C2" i="74"/>
  <c r="B2" i="74"/>
  <c r="A2" i="74"/>
  <c r="C2" i="73"/>
  <c r="B2" i="73"/>
  <c r="A2" i="73"/>
  <c r="B2" i="72"/>
  <c r="A2" i="72"/>
  <c r="B2" i="71"/>
  <c r="A2" i="71"/>
  <c r="C2" i="70"/>
  <c r="B2" i="70"/>
  <c r="A2" i="70"/>
  <c r="C2" i="69"/>
  <c r="A2" i="69"/>
  <c r="C2" i="68"/>
  <c r="B2" i="68"/>
  <c r="A2" i="68"/>
  <c r="C2" i="67"/>
  <c r="B2" i="67"/>
  <c r="A2" i="67"/>
  <c r="B2" i="66"/>
  <c r="A2" i="66"/>
  <c r="B2" i="65"/>
  <c r="A2" i="65"/>
  <c r="C2" i="64"/>
  <c r="B2" i="64"/>
  <c r="A2" i="64"/>
  <c r="C2" i="63"/>
  <c r="A2" i="63"/>
  <c r="C2" i="62"/>
  <c r="B2" i="62"/>
  <c r="A2" i="62"/>
  <c r="C2" i="61"/>
  <c r="B2" i="61"/>
  <c r="A2" i="61"/>
  <c r="B2" i="69" l="1"/>
  <c r="B2" i="75"/>
  <c r="B2" i="81"/>
  <c r="B2" i="83"/>
  <c r="EI138" i="8"/>
  <c r="EI137" i="8"/>
  <c r="EI136" i="8"/>
  <c r="EI135" i="8"/>
  <c r="EI134" i="8"/>
  <c r="EI133" i="8"/>
  <c r="EI132" i="8"/>
  <c r="EI131" i="8"/>
  <c r="EI130" i="8"/>
  <c r="EI129" i="8"/>
  <c r="EI128" i="8"/>
  <c r="EI127" i="8"/>
  <c r="EI126" i="8"/>
  <c r="EI125" i="8"/>
  <c r="EI124" i="8"/>
  <c r="EI123" i="8"/>
  <c r="EI122" i="8"/>
  <c r="EI121" i="8"/>
  <c r="EI120" i="8"/>
  <c r="EI119" i="8"/>
  <c r="EI118" i="8"/>
  <c r="EI117" i="8"/>
  <c r="EI116" i="8"/>
  <c r="EI115" i="8"/>
  <c r="EI114" i="8"/>
  <c r="EI113" i="8"/>
  <c r="EI112" i="8"/>
  <c r="EI111" i="8"/>
  <c r="EI110" i="8"/>
  <c r="EI109" i="8"/>
  <c r="EI108" i="8"/>
  <c r="EI107" i="8"/>
  <c r="EI106" i="8"/>
  <c r="EI105" i="8"/>
  <c r="EI104" i="8"/>
  <c r="EI103" i="8"/>
  <c r="EI102" i="8"/>
  <c r="EI101" i="8"/>
  <c r="EI100" i="8"/>
  <c r="EI99" i="8"/>
  <c r="EI98" i="8"/>
  <c r="EI97" i="8"/>
  <c r="EI96" i="8"/>
  <c r="EI95" i="8"/>
  <c r="EI94" i="8"/>
  <c r="EH138" i="8"/>
  <c r="EH137" i="8"/>
  <c r="EH136" i="8"/>
  <c r="EH135" i="8"/>
  <c r="EH134" i="8"/>
  <c r="EH133" i="8"/>
  <c r="EH132" i="8"/>
  <c r="EH131" i="8"/>
  <c r="EH130" i="8"/>
  <c r="EH129" i="8"/>
  <c r="EH128" i="8"/>
  <c r="EH127" i="8"/>
  <c r="EH126" i="8"/>
  <c r="EH125" i="8"/>
  <c r="EH124" i="8"/>
  <c r="EH123" i="8"/>
  <c r="EH122" i="8"/>
  <c r="EH121" i="8"/>
  <c r="EH120" i="8"/>
  <c r="EH119" i="8"/>
  <c r="EH118" i="8"/>
  <c r="EH117" i="8"/>
  <c r="EH116" i="8"/>
  <c r="EH115" i="8"/>
  <c r="EH114" i="8"/>
  <c r="EH113" i="8"/>
  <c r="EH112" i="8"/>
  <c r="EH111" i="8"/>
  <c r="EH110" i="8"/>
  <c r="EH109" i="8"/>
  <c r="EH108" i="8"/>
  <c r="EH107" i="8"/>
  <c r="EH106" i="8"/>
  <c r="EH105" i="8"/>
  <c r="EH104" i="8"/>
  <c r="EH103" i="8"/>
  <c r="EH102" i="8"/>
  <c r="EH101" i="8"/>
  <c r="EH100" i="8"/>
  <c r="EH99" i="8"/>
  <c r="EH98" i="8"/>
  <c r="EH97" i="8"/>
  <c r="EH96" i="8"/>
  <c r="EH95" i="8"/>
  <c r="EH94" i="8"/>
  <c r="EI89" i="8"/>
  <c r="EI88" i="8"/>
  <c r="EI87" i="8"/>
  <c r="EI86" i="8"/>
  <c r="EI85" i="8"/>
  <c r="EI84" i="8"/>
  <c r="EI83" i="8"/>
  <c r="EI82" i="8"/>
  <c r="EI81" i="8"/>
  <c r="EI80" i="8"/>
  <c r="EI79" i="8"/>
  <c r="EI78" i="8"/>
  <c r="EI77" i="8"/>
  <c r="EI76" i="8"/>
  <c r="EI75" i="8"/>
  <c r="EI74" i="8"/>
  <c r="EI73" i="8"/>
  <c r="EI72" i="8"/>
  <c r="EI71" i="8"/>
  <c r="EI70" i="8"/>
  <c r="EI69" i="8"/>
  <c r="EI68" i="8"/>
  <c r="EI67" i="8"/>
  <c r="EI66" i="8"/>
  <c r="EI65" i="8"/>
  <c r="EI64" i="8"/>
  <c r="EI63" i="8"/>
  <c r="EI62" i="8"/>
  <c r="EI61" i="8"/>
  <c r="EI60" i="8"/>
  <c r="EI59" i="8"/>
  <c r="EI58" i="8"/>
  <c r="EI57" i="8"/>
  <c r="EI56" i="8"/>
  <c r="EI55" i="8"/>
  <c r="EI54" i="8"/>
  <c r="EI53" i="8"/>
  <c r="EI52" i="8"/>
  <c r="EI51" i="8"/>
  <c r="EI50" i="8"/>
  <c r="EI49" i="8"/>
  <c r="EI48" i="8"/>
  <c r="EI47" i="8"/>
  <c r="EI46" i="8"/>
  <c r="EI45" i="8"/>
  <c r="EH89" i="8"/>
  <c r="EH88" i="8"/>
  <c r="EH87" i="8"/>
  <c r="EH86" i="8"/>
  <c r="EH85" i="8"/>
  <c r="EH84" i="8"/>
  <c r="EH83" i="8"/>
  <c r="EH82" i="8"/>
  <c r="EH81" i="8"/>
  <c r="EH80" i="8"/>
  <c r="EH79" i="8"/>
  <c r="EH78" i="8"/>
  <c r="EH77" i="8"/>
  <c r="EH76" i="8"/>
  <c r="EH75" i="8"/>
  <c r="EH74" i="8"/>
  <c r="EH73" i="8"/>
  <c r="EH72" i="8"/>
  <c r="EH71" i="8"/>
  <c r="EH70" i="8"/>
  <c r="EH69" i="8"/>
  <c r="EH68" i="8"/>
  <c r="EH67" i="8"/>
  <c r="EH66" i="8"/>
  <c r="EH65" i="8"/>
  <c r="EH64" i="8"/>
  <c r="EH63" i="8"/>
  <c r="EH62" i="8"/>
  <c r="EH61" i="8"/>
  <c r="EH60" i="8"/>
  <c r="EH59" i="8"/>
  <c r="EH58" i="8"/>
  <c r="EH57" i="8"/>
  <c r="EH56" i="8"/>
  <c r="EH55" i="8"/>
  <c r="EH54" i="8"/>
  <c r="EH53" i="8"/>
  <c r="EH52" i="8"/>
  <c r="EH51" i="8"/>
  <c r="EH50" i="8"/>
  <c r="EH49" i="8"/>
  <c r="EH48" i="8"/>
  <c r="EH47" i="8"/>
  <c r="EH46" i="8"/>
  <c r="EH45" i="8"/>
  <c r="H60" i="15" l="1"/>
  <c r="G60" i="15"/>
  <c r="F60" i="15"/>
  <c r="E60" i="15"/>
  <c r="D60" i="15"/>
  <c r="C60" i="15"/>
  <c r="H17" i="15"/>
  <c r="G17" i="15"/>
  <c r="F17" i="15"/>
  <c r="E17" i="15"/>
  <c r="D17" i="15"/>
  <c r="C17" i="15"/>
  <c r="H85" i="14"/>
  <c r="G85" i="14"/>
  <c r="F85" i="14"/>
  <c r="E85" i="14"/>
  <c r="D85" i="14"/>
  <c r="C85" i="14"/>
  <c r="H84" i="14"/>
  <c r="G84" i="14"/>
  <c r="F84" i="14"/>
  <c r="E84" i="14"/>
  <c r="D84" i="14"/>
  <c r="C84" i="14"/>
  <c r="H83" i="14"/>
  <c r="G83" i="14"/>
  <c r="F83" i="14"/>
  <c r="E83" i="14"/>
  <c r="D83" i="14"/>
  <c r="C83" i="14"/>
  <c r="H82" i="14"/>
  <c r="G82" i="14"/>
  <c r="F82" i="14"/>
  <c r="E82" i="14"/>
  <c r="D82" i="14"/>
  <c r="C82" i="14"/>
  <c r="H81" i="14"/>
  <c r="G81" i="14"/>
  <c r="F81" i="14"/>
  <c r="E81" i="14"/>
  <c r="D81" i="14"/>
  <c r="C81" i="14"/>
  <c r="H80" i="14"/>
  <c r="G80" i="14"/>
  <c r="F80" i="14"/>
  <c r="E80" i="14"/>
  <c r="D80" i="14"/>
  <c r="C80" i="14"/>
  <c r="H79" i="14"/>
  <c r="G79" i="14"/>
  <c r="F79" i="14"/>
  <c r="E79" i="14"/>
  <c r="D79" i="14"/>
  <c r="C79" i="14"/>
  <c r="H42" i="14"/>
  <c r="G42" i="14"/>
  <c r="F42" i="14"/>
  <c r="E42" i="14"/>
  <c r="D42" i="14"/>
  <c r="C42" i="14"/>
  <c r="H41" i="14"/>
  <c r="G41" i="14"/>
  <c r="F41" i="14"/>
  <c r="E41" i="14"/>
  <c r="D41" i="14"/>
  <c r="C41" i="14"/>
  <c r="H40" i="14"/>
  <c r="G40" i="14"/>
  <c r="F40" i="14"/>
  <c r="E40" i="14"/>
  <c r="D40" i="14"/>
  <c r="C40" i="14"/>
  <c r="H39" i="14"/>
  <c r="G39" i="14"/>
  <c r="F39" i="14"/>
  <c r="E39" i="14"/>
  <c r="D39" i="14"/>
  <c r="C39" i="14"/>
  <c r="H38" i="14"/>
  <c r="G38" i="14"/>
  <c r="F38" i="14"/>
  <c r="E38" i="14"/>
  <c r="D38" i="14"/>
  <c r="C38" i="14"/>
  <c r="H37" i="14"/>
  <c r="G37" i="14"/>
  <c r="F37" i="14"/>
  <c r="E37" i="14"/>
  <c r="D37" i="14"/>
  <c r="C37" i="14"/>
  <c r="H36" i="14"/>
  <c r="G36" i="14"/>
  <c r="F36" i="14"/>
  <c r="E36" i="14"/>
  <c r="D36" i="14"/>
  <c r="C36" i="14"/>
  <c r="H158" i="13"/>
  <c r="G158" i="13"/>
  <c r="F158" i="13"/>
  <c r="E158" i="13"/>
  <c r="D158" i="13"/>
  <c r="C158" i="13"/>
  <c r="H157" i="13"/>
  <c r="G157" i="13"/>
  <c r="F157" i="13"/>
  <c r="E157" i="13"/>
  <c r="D157" i="13"/>
  <c r="C157" i="13"/>
  <c r="H156" i="13"/>
  <c r="G156" i="13"/>
  <c r="F156" i="13"/>
  <c r="E156" i="13"/>
  <c r="D156" i="13"/>
  <c r="C156" i="13"/>
  <c r="H155" i="13"/>
  <c r="G155" i="13"/>
  <c r="F155" i="13"/>
  <c r="E155" i="13"/>
  <c r="D155" i="13"/>
  <c r="C155" i="13"/>
  <c r="H154" i="13"/>
  <c r="G154" i="13"/>
  <c r="F154" i="13"/>
  <c r="E154" i="13"/>
  <c r="D154" i="13"/>
  <c r="C154" i="13"/>
  <c r="H153" i="13"/>
  <c r="G153" i="13"/>
  <c r="F153" i="13"/>
  <c r="E153" i="13"/>
  <c r="D153" i="13"/>
  <c r="C153" i="13"/>
  <c r="H152" i="13"/>
  <c r="G152" i="13"/>
  <c r="F152" i="13"/>
  <c r="E152" i="13"/>
  <c r="D152" i="13"/>
  <c r="C152" i="13"/>
  <c r="H151" i="13"/>
  <c r="G151" i="13"/>
  <c r="F151" i="13"/>
  <c r="E151" i="13"/>
  <c r="D151" i="13"/>
  <c r="C151" i="13"/>
  <c r="H150" i="13"/>
  <c r="G150" i="13"/>
  <c r="F150" i="13"/>
  <c r="E150" i="13"/>
  <c r="D150" i="13"/>
  <c r="C150" i="13"/>
  <c r="H149" i="13"/>
  <c r="G149" i="13"/>
  <c r="F149" i="13"/>
  <c r="E149" i="13"/>
  <c r="D149" i="13"/>
  <c r="C149" i="13"/>
  <c r="H148" i="13"/>
  <c r="G148" i="13"/>
  <c r="F148" i="13"/>
  <c r="E148" i="13"/>
  <c r="D148" i="13"/>
  <c r="C148" i="13"/>
  <c r="H147" i="13"/>
  <c r="G147" i="13"/>
  <c r="F147" i="13"/>
  <c r="E147" i="13"/>
  <c r="D147" i="13"/>
  <c r="C147" i="13"/>
  <c r="H146" i="13"/>
  <c r="G146" i="13"/>
  <c r="F146" i="13"/>
  <c r="E146" i="13"/>
  <c r="D146" i="13"/>
  <c r="C146" i="13"/>
  <c r="H115" i="13"/>
  <c r="G115" i="13"/>
  <c r="F115" i="13"/>
  <c r="E115" i="13"/>
  <c r="D115" i="13"/>
  <c r="C115" i="13"/>
  <c r="H114" i="13"/>
  <c r="G114" i="13"/>
  <c r="F114" i="13"/>
  <c r="E114" i="13"/>
  <c r="D114" i="13"/>
  <c r="C114" i="13"/>
  <c r="H113" i="13"/>
  <c r="G113" i="13"/>
  <c r="F113" i="13"/>
  <c r="E113" i="13"/>
  <c r="D113" i="13"/>
  <c r="C113" i="13"/>
  <c r="H112" i="13"/>
  <c r="G112" i="13"/>
  <c r="F112" i="13"/>
  <c r="E112" i="13"/>
  <c r="D112" i="13"/>
  <c r="C112" i="13"/>
  <c r="H111" i="13"/>
  <c r="G111" i="13"/>
  <c r="F111" i="13"/>
  <c r="E111" i="13"/>
  <c r="D111" i="13"/>
  <c r="C111" i="13"/>
  <c r="H110" i="13"/>
  <c r="G110" i="13"/>
  <c r="F110" i="13"/>
  <c r="E110" i="13"/>
  <c r="D110" i="13"/>
  <c r="C110" i="13"/>
  <c r="H109" i="13"/>
  <c r="G109" i="13"/>
  <c r="F109" i="13"/>
  <c r="E109" i="13"/>
  <c r="D109" i="13"/>
  <c r="C109" i="13"/>
  <c r="H108" i="13"/>
  <c r="G108" i="13"/>
  <c r="F108" i="13"/>
  <c r="E108" i="13"/>
  <c r="D108" i="13"/>
  <c r="C108" i="13"/>
  <c r="H107" i="13"/>
  <c r="G107" i="13"/>
  <c r="F107" i="13"/>
  <c r="E107" i="13"/>
  <c r="D107" i="13"/>
  <c r="C107" i="13"/>
  <c r="H106" i="13"/>
  <c r="G106" i="13"/>
  <c r="F106" i="13"/>
  <c r="E106" i="13"/>
  <c r="D106" i="13"/>
  <c r="C106" i="13"/>
  <c r="H105" i="13"/>
  <c r="G105" i="13"/>
  <c r="F105" i="13"/>
  <c r="E105" i="13"/>
  <c r="D105" i="13"/>
  <c r="C105" i="13"/>
  <c r="H104" i="13"/>
  <c r="G104" i="13"/>
  <c r="F104" i="13"/>
  <c r="E104" i="13"/>
  <c r="D104" i="13"/>
  <c r="C104" i="13"/>
  <c r="H103" i="13"/>
  <c r="G103" i="13"/>
  <c r="F103" i="13"/>
  <c r="E103" i="13"/>
  <c r="D103" i="13"/>
  <c r="C103" i="13"/>
  <c r="H40" i="12"/>
  <c r="H39" i="12"/>
  <c r="H38" i="12"/>
  <c r="H37" i="12"/>
  <c r="H36" i="12"/>
  <c r="H35" i="12"/>
  <c r="H34" i="12"/>
  <c r="H33" i="12"/>
  <c r="H32" i="12"/>
  <c r="H31" i="12"/>
  <c r="H30" i="12"/>
  <c r="H29" i="12"/>
  <c r="F40" i="12"/>
  <c r="F39" i="12"/>
  <c r="F38" i="12"/>
  <c r="F37" i="12"/>
  <c r="F36" i="12"/>
  <c r="F35" i="12"/>
  <c r="F34" i="12"/>
  <c r="F33" i="12"/>
  <c r="F32" i="12"/>
  <c r="F31" i="12"/>
  <c r="F30" i="12"/>
  <c r="F29" i="12"/>
  <c r="D40" i="12"/>
  <c r="D39" i="12"/>
  <c r="D38" i="12"/>
  <c r="D37" i="12"/>
  <c r="D36" i="12"/>
  <c r="D35" i="12"/>
  <c r="D34" i="12"/>
  <c r="D33" i="12"/>
  <c r="D32" i="12"/>
  <c r="D31" i="12"/>
  <c r="D30" i="12"/>
  <c r="D29" i="12"/>
  <c r="G40" i="12"/>
  <c r="G39" i="12"/>
  <c r="G38" i="12"/>
  <c r="G37" i="12"/>
  <c r="G36" i="12"/>
  <c r="G35" i="12"/>
  <c r="G34" i="12"/>
  <c r="G33" i="12"/>
  <c r="G32" i="12"/>
  <c r="G31" i="12"/>
  <c r="G30" i="12"/>
  <c r="G29" i="12"/>
  <c r="E40" i="12"/>
  <c r="E39" i="12"/>
  <c r="E38" i="12"/>
  <c r="E37" i="12"/>
  <c r="E36" i="12"/>
  <c r="E35" i="12"/>
  <c r="E34" i="12"/>
  <c r="E33" i="12"/>
  <c r="E32" i="12"/>
  <c r="E31" i="12"/>
  <c r="E30" i="12"/>
  <c r="E29" i="12"/>
  <c r="C40" i="12"/>
  <c r="C39" i="12"/>
  <c r="C38" i="12"/>
  <c r="C37" i="12"/>
  <c r="C36" i="12"/>
  <c r="C35" i="12"/>
  <c r="C34" i="12"/>
  <c r="C33" i="12"/>
  <c r="C32" i="12"/>
  <c r="C31" i="12"/>
  <c r="C30" i="12"/>
  <c r="C29" i="12"/>
  <c r="AG196" i="8"/>
  <c r="AG195" i="8"/>
  <c r="AG194" i="8"/>
  <c r="AG193" i="8"/>
  <c r="AG192" i="8"/>
  <c r="AG191" i="8"/>
  <c r="AG186" i="8"/>
  <c r="AG185" i="8"/>
  <c r="AG184" i="8"/>
  <c r="AG183" i="8"/>
  <c r="AG182" i="8"/>
  <c r="AG181" i="8"/>
  <c r="X196" i="8"/>
  <c r="X195" i="8"/>
  <c r="X194" i="8"/>
  <c r="X193" i="8"/>
  <c r="X192" i="8"/>
  <c r="X191" i="8"/>
  <c r="X186" i="8"/>
  <c r="X185" i="8"/>
  <c r="X184" i="8"/>
  <c r="X183" i="8"/>
  <c r="X182" i="8"/>
  <c r="X181" i="8"/>
  <c r="H106" i="8"/>
  <c r="G106" i="8"/>
  <c r="F106" i="8"/>
  <c r="E106" i="8"/>
  <c r="D106" i="8"/>
  <c r="C106" i="8"/>
  <c r="H105" i="8"/>
  <c r="G105" i="8"/>
  <c r="F105" i="8"/>
  <c r="E105" i="8"/>
  <c r="D105" i="8"/>
  <c r="C105" i="8"/>
  <c r="H104" i="8"/>
  <c r="G104" i="8"/>
  <c r="F104" i="8"/>
  <c r="E104" i="8"/>
  <c r="D104" i="8"/>
  <c r="C104" i="8"/>
  <c r="H103" i="8"/>
  <c r="G103" i="8"/>
  <c r="F103" i="8"/>
  <c r="E103" i="8"/>
  <c r="D103" i="8"/>
  <c r="C103" i="8"/>
  <c r="H102" i="8"/>
  <c r="G102" i="8"/>
  <c r="F102" i="8"/>
  <c r="E102" i="8"/>
  <c r="D102" i="8"/>
  <c r="C102" i="8"/>
  <c r="H101" i="8"/>
  <c r="G101" i="8"/>
  <c r="F101" i="8"/>
  <c r="E101" i="8"/>
  <c r="D101" i="8"/>
  <c r="C101" i="8"/>
  <c r="H100" i="8"/>
  <c r="G100" i="8"/>
  <c r="F100" i="8"/>
  <c r="E100" i="8"/>
  <c r="D100" i="8"/>
  <c r="C100" i="8"/>
  <c r="H99" i="8"/>
  <c r="G99" i="8"/>
  <c r="F99" i="8"/>
  <c r="E99" i="8"/>
  <c r="D99" i="8"/>
  <c r="C99" i="8"/>
  <c r="H98" i="8"/>
  <c r="G98" i="8"/>
  <c r="F98" i="8"/>
  <c r="E98" i="8"/>
  <c r="D98" i="8"/>
  <c r="C98" i="8"/>
  <c r="H97" i="8"/>
  <c r="G97" i="8"/>
  <c r="F97" i="8"/>
  <c r="E97" i="8"/>
  <c r="D97" i="8"/>
  <c r="C97" i="8"/>
  <c r="H96" i="8"/>
  <c r="G96" i="8"/>
  <c r="F96" i="8"/>
  <c r="E96" i="8"/>
  <c r="D96" i="8"/>
  <c r="C96" i="8"/>
  <c r="H95" i="8"/>
  <c r="G95" i="8"/>
  <c r="F95" i="8"/>
  <c r="E95" i="8"/>
  <c r="D95" i="8"/>
  <c r="C95" i="8"/>
  <c r="H56" i="8"/>
  <c r="G56" i="8"/>
  <c r="F56" i="8"/>
  <c r="E56" i="8"/>
  <c r="D56" i="8"/>
  <c r="C56" i="8"/>
  <c r="H55" i="8"/>
  <c r="G55" i="8"/>
  <c r="F55" i="8"/>
  <c r="E55" i="8"/>
  <c r="D55" i="8"/>
  <c r="C55" i="8"/>
  <c r="H54" i="8"/>
  <c r="G54" i="8"/>
  <c r="F54" i="8"/>
  <c r="E54" i="8"/>
  <c r="D54" i="8"/>
  <c r="C54" i="8"/>
  <c r="H53" i="8"/>
  <c r="G53" i="8"/>
  <c r="F53" i="8"/>
  <c r="E53" i="8"/>
  <c r="D53" i="8"/>
  <c r="C53" i="8"/>
  <c r="H52" i="8"/>
  <c r="G52" i="8"/>
  <c r="F52" i="8"/>
  <c r="E52" i="8"/>
  <c r="D52" i="8"/>
  <c r="C52" i="8"/>
  <c r="H51" i="8"/>
  <c r="G51" i="8"/>
  <c r="F51" i="8"/>
  <c r="E51" i="8"/>
  <c r="D51" i="8"/>
  <c r="C51" i="8"/>
  <c r="H50" i="8"/>
  <c r="G50" i="8"/>
  <c r="F50" i="8"/>
  <c r="E50" i="8"/>
  <c r="D50" i="8"/>
  <c r="C50" i="8"/>
  <c r="H49" i="8"/>
  <c r="G49" i="8"/>
  <c r="F49" i="8"/>
  <c r="E49" i="8"/>
  <c r="D49" i="8"/>
  <c r="C49" i="8"/>
  <c r="H48" i="8"/>
  <c r="G48" i="8"/>
  <c r="F48" i="8"/>
  <c r="E48" i="8"/>
  <c r="D48" i="8"/>
  <c r="C48" i="8"/>
  <c r="H47" i="8"/>
  <c r="G47" i="8"/>
  <c r="F47" i="8"/>
  <c r="E47" i="8"/>
  <c r="D47" i="8"/>
  <c r="C47" i="8"/>
  <c r="H46" i="8"/>
  <c r="G46" i="8"/>
  <c r="F46" i="8"/>
  <c r="E46" i="8"/>
  <c r="D46" i="8"/>
  <c r="C46" i="8"/>
  <c r="H45" i="8"/>
  <c r="G45" i="8"/>
  <c r="F45" i="8"/>
  <c r="E45" i="8"/>
  <c r="D45" i="8"/>
  <c r="C45" i="8"/>
  <c r="A2" i="60" l="1"/>
  <c r="A2" i="59"/>
  <c r="A2" i="58"/>
  <c r="A2" i="57"/>
  <c r="A2" i="56"/>
  <c r="A2" i="55"/>
  <c r="A2" i="54"/>
  <c r="A2" i="53"/>
  <c r="A2" i="52"/>
  <c r="A2" i="51"/>
  <c r="A2" i="50"/>
  <c r="A2" i="49"/>
  <c r="EV181" i="13"/>
  <c r="EV138" i="13"/>
  <c r="A2" i="21"/>
  <c r="A2" i="20"/>
  <c r="A2" i="19"/>
  <c r="A2" i="18"/>
  <c r="A2" i="17"/>
  <c r="A2" i="16"/>
  <c r="A2" i="40"/>
  <c r="A2" i="39"/>
  <c r="A2" i="38"/>
  <c r="A2" i="37"/>
  <c r="A2" i="36"/>
  <c r="A2" i="35"/>
  <c r="A2" i="34"/>
  <c r="A2" i="33"/>
  <c r="A2" i="32"/>
  <c r="A2" i="31"/>
  <c r="A2" i="30"/>
  <c r="A2" i="29"/>
  <c r="A2" i="28"/>
  <c r="A2" i="27"/>
  <c r="A2" i="26"/>
  <c r="A2" i="25"/>
  <c r="A2" i="24"/>
  <c r="A2" i="23"/>
  <c r="A2" i="46"/>
  <c r="A2" i="45"/>
  <c r="A2" i="44"/>
  <c r="A2" i="43"/>
  <c r="A2" i="42"/>
  <c r="A2" i="41"/>
  <c r="G8" i="47"/>
  <c r="F8" i="47"/>
  <c r="E8" i="47"/>
  <c r="E6" i="47" s="1"/>
  <c r="E12" i="47" s="1"/>
  <c r="D8" i="47"/>
  <c r="D6" i="47" s="1"/>
  <c r="D12" i="47" s="1"/>
  <c r="C8" i="47"/>
  <c r="C6" i="47" s="1"/>
  <c r="C12" i="47" s="1"/>
  <c r="B8" i="47"/>
  <c r="B6" i="47" s="1"/>
  <c r="B12" i="47" s="1"/>
  <c r="G6" i="47"/>
  <c r="G12" i="47" s="1"/>
  <c r="F6" i="47"/>
  <c r="F12" i="47" s="1"/>
  <c r="N13" i="47" l="1"/>
  <c r="N14" i="47" s="1"/>
  <c r="N15" i="47" s="1"/>
  <c r="N16" i="47" s="1"/>
  <c r="N17" i="47" s="1"/>
  <c r="E18" i="47"/>
  <c r="E16" i="47"/>
  <c r="E14" i="47"/>
  <c r="E17" i="47"/>
  <c r="E15" i="47"/>
  <c r="E13" i="47"/>
  <c r="O13" i="47"/>
  <c r="F17" i="47"/>
  <c r="F15" i="47"/>
  <c r="F13" i="47"/>
  <c r="F18" i="47"/>
  <c r="F16" i="47"/>
  <c r="F14" i="47"/>
  <c r="G18" i="47"/>
  <c r="G16" i="47"/>
  <c r="G14" i="47"/>
  <c r="G15" i="47"/>
  <c r="G13" i="47"/>
  <c r="G17" i="47"/>
  <c r="P13" i="47"/>
  <c r="C17" i="47"/>
  <c r="C15" i="47"/>
  <c r="C13" i="47"/>
  <c r="L13" i="47"/>
  <c r="L14" i="47" s="1"/>
  <c r="L15" i="47" s="1"/>
  <c r="L16" i="47" s="1"/>
  <c r="L17" i="47" s="1"/>
  <c r="C18" i="47"/>
  <c r="C16" i="47"/>
  <c r="C14" i="47"/>
  <c r="B17" i="47"/>
  <c r="B15" i="47"/>
  <c r="B13" i="47"/>
  <c r="K13" i="47" s="1"/>
  <c r="K14" i="47" s="1"/>
  <c r="K15" i="47" s="1"/>
  <c r="K16" i="47" s="1"/>
  <c r="K17" i="47" s="1"/>
  <c r="K18" i="47" s="1"/>
  <c r="B18" i="47"/>
  <c r="B16" i="47"/>
  <c r="B14" i="47"/>
  <c r="D16" i="47"/>
  <c r="D17" i="47"/>
  <c r="D15" i="47"/>
  <c r="D18" i="47"/>
  <c r="D14" i="47"/>
  <c r="D13" i="47"/>
  <c r="M13" i="47" s="1"/>
  <c r="M14" i="47" s="1"/>
  <c r="M15" i="47" s="1"/>
  <c r="M16" i="47" s="1"/>
  <c r="M17" i="47" s="1"/>
  <c r="M18" i="47" s="1"/>
  <c r="L18" i="47" l="1"/>
  <c r="O14" i="47"/>
  <c r="O15" i="47" s="1"/>
  <c r="O16" i="47" s="1"/>
  <c r="O17" i="47" s="1"/>
  <c r="O18" i="47" s="1"/>
  <c r="N18" i="47"/>
  <c r="P14" i="47"/>
  <c r="P15" i="47" s="1"/>
  <c r="P16" i="47" s="1"/>
  <c r="P17" i="47" s="1"/>
  <c r="P18" i="47" s="1"/>
  <c r="EG139" i="8" l="1"/>
  <c r="Q39" i="8" l="1"/>
  <c r="Q38" i="8"/>
  <c r="Q37" i="8"/>
  <c r="Q36" i="8"/>
  <c r="Q35" i="8"/>
  <c r="Q34" i="8"/>
  <c r="Q33" i="8"/>
  <c r="Q32" i="8"/>
  <c r="Q31" i="8"/>
  <c r="Q30" i="8"/>
  <c r="Q29" i="8"/>
  <c r="Q28" i="8"/>
  <c r="N39" i="8"/>
  <c r="N38" i="8"/>
  <c r="N37" i="8"/>
  <c r="N36" i="8"/>
  <c r="N35" i="8"/>
  <c r="N34" i="8"/>
  <c r="N33" i="8"/>
  <c r="N32" i="8"/>
  <c r="N31" i="8"/>
  <c r="N30" i="8"/>
  <c r="N29" i="8"/>
  <c r="N28" i="8"/>
  <c r="X197" i="8" l="1"/>
  <c r="X187" i="8"/>
  <c r="EJ126" i="8" l="1"/>
  <c r="EJ125" i="8"/>
  <c r="EJ124" i="8"/>
  <c r="EJ123" i="8"/>
  <c r="EJ122" i="8"/>
  <c r="U187" i="8"/>
  <c r="V187" i="8"/>
  <c r="AV166" i="8"/>
  <c r="AT166" i="8" s="1"/>
  <c r="AM166" i="8"/>
  <c r="AO8" i="13"/>
  <c r="AS8" i="8"/>
  <c r="ET73" i="8" l="1"/>
  <c r="ET122" i="8"/>
  <c r="EJ73" i="8"/>
  <c r="ET123" i="8"/>
  <c r="ET74" i="8"/>
  <c r="EJ74" i="8"/>
  <c r="AG197" i="8"/>
  <c r="EJ121" i="8"/>
  <c r="EJ139" i="8" s="1"/>
  <c r="ET72" i="8"/>
  <c r="ET121" i="8"/>
  <c r="EJ72" i="8"/>
  <c r="AQ166" i="8"/>
  <c r="ET124" i="8"/>
  <c r="ET75" i="8"/>
  <c r="EJ75" i="8"/>
  <c r="ET77" i="8"/>
  <c r="ET126" i="8"/>
  <c r="EJ77" i="8"/>
  <c r="ET76" i="8"/>
  <c r="ET125" i="8"/>
  <c r="EJ76" i="8"/>
  <c r="AN166" i="8"/>
  <c r="AO166" i="8"/>
  <c r="AP166" i="8"/>
  <c r="AL166" i="8"/>
  <c r="AG187" i="8"/>
  <c r="AR166" i="8"/>
  <c r="AS166" i="8"/>
  <c r="B2" i="28" l="1"/>
  <c r="B2" i="21"/>
  <c r="EJ90" i="8"/>
  <c r="ET139" i="8"/>
  <c r="ET90" i="8"/>
  <c r="B2" i="20" l="1"/>
  <c r="B2" i="27"/>
  <c r="F14" i="14" l="1"/>
  <c r="E14" i="14"/>
  <c r="D14" i="14"/>
  <c r="F13" i="14"/>
  <c r="E13" i="14"/>
  <c r="D13" i="14"/>
  <c r="F12" i="14"/>
  <c r="E12" i="14"/>
  <c r="D12" i="14"/>
  <c r="F11" i="14"/>
  <c r="E11" i="14"/>
  <c r="D11" i="14"/>
  <c r="F10" i="14"/>
  <c r="E10" i="14"/>
  <c r="D10" i="14"/>
  <c r="F9" i="14"/>
  <c r="E9" i="14"/>
  <c r="D9" i="14"/>
  <c r="F8" i="14"/>
  <c r="E8" i="14"/>
  <c r="D8" i="14"/>
  <c r="FH85" i="14"/>
  <c r="FH84" i="14"/>
  <c r="FH83" i="14"/>
  <c r="FH82" i="14"/>
  <c r="FH81" i="14"/>
  <c r="FH80" i="14"/>
  <c r="J48" i="14" l="1"/>
  <c r="AU38" i="12" l="1"/>
  <c r="AT38" i="12"/>
  <c r="AS38" i="12"/>
  <c r="AR38" i="12"/>
  <c r="AQ38" i="12"/>
  <c r="AP38" i="12"/>
  <c r="AU37" i="12"/>
  <c r="AT37" i="12"/>
  <c r="AS37" i="12"/>
  <c r="AR37" i="12"/>
  <c r="AQ37" i="12"/>
  <c r="AP37" i="12"/>
  <c r="AU36" i="12"/>
  <c r="AT36" i="12"/>
  <c r="AS36" i="12"/>
  <c r="AR36" i="12"/>
  <c r="AQ36" i="12"/>
  <c r="AP36" i="12"/>
  <c r="AU35" i="12"/>
  <c r="AT35" i="12"/>
  <c r="AS35" i="12"/>
  <c r="AR35" i="12"/>
  <c r="AQ35" i="12"/>
  <c r="AP35" i="12"/>
  <c r="AU34" i="12"/>
  <c r="AT34" i="12"/>
  <c r="AS34" i="12"/>
  <c r="AR34" i="12"/>
  <c r="AQ34" i="12"/>
  <c r="AP34" i="12"/>
  <c r="AU33" i="12"/>
  <c r="AT33" i="12"/>
  <c r="AS33" i="12"/>
  <c r="AR33" i="12"/>
  <c r="AQ33" i="12"/>
  <c r="AP33" i="12"/>
  <c r="AU32" i="12"/>
  <c r="AT32" i="12"/>
  <c r="AS32" i="12"/>
  <c r="AR32" i="12"/>
  <c r="AQ32" i="12"/>
  <c r="AP32" i="12"/>
  <c r="AU31" i="12"/>
  <c r="AT31" i="12"/>
  <c r="AS31" i="12"/>
  <c r="AR31" i="12"/>
  <c r="AQ31" i="12"/>
  <c r="AP31" i="12"/>
  <c r="AU30" i="12"/>
  <c r="AT30" i="12"/>
  <c r="AS30" i="12"/>
  <c r="AR30" i="12"/>
  <c r="AQ30" i="12"/>
  <c r="AP30" i="12"/>
  <c r="AU29" i="12"/>
  <c r="AT29" i="12"/>
  <c r="AS29" i="12"/>
  <c r="AR29" i="12"/>
  <c r="AQ29" i="12"/>
  <c r="AP29" i="12"/>
  <c r="AU28" i="12"/>
  <c r="AT28" i="12"/>
  <c r="AS28" i="12"/>
  <c r="AR28" i="12"/>
  <c r="AQ28" i="12"/>
  <c r="AP28" i="12"/>
  <c r="AU27" i="12"/>
  <c r="AT27" i="12"/>
  <c r="AS27" i="12"/>
  <c r="AR27" i="12"/>
  <c r="AQ27" i="12"/>
  <c r="AP27" i="12"/>
  <c r="AF38" i="12"/>
  <c r="AF37" i="12"/>
  <c r="AF36" i="12"/>
  <c r="AF35" i="12"/>
  <c r="AF34" i="12"/>
  <c r="AF33" i="12"/>
  <c r="AF32" i="12"/>
  <c r="AD38" i="12"/>
  <c r="AD37" i="12"/>
  <c r="AD36" i="12"/>
  <c r="AD35" i="12"/>
  <c r="AD34" i="12"/>
  <c r="AD33" i="12"/>
  <c r="AD32" i="12"/>
  <c r="AC38" i="12"/>
  <c r="AC37" i="12"/>
  <c r="AC36" i="12"/>
  <c r="AC35" i="12"/>
  <c r="AC34" i="12"/>
  <c r="AC33" i="12"/>
  <c r="AC32" i="12"/>
  <c r="AE38" i="12"/>
  <c r="AE37" i="12"/>
  <c r="AE36" i="12"/>
  <c r="AE35" i="12"/>
  <c r="AE34" i="12"/>
  <c r="AE33" i="12"/>
  <c r="AE32" i="12"/>
  <c r="AB38" i="12"/>
  <c r="AB37" i="12"/>
  <c r="AB36" i="12"/>
  <c r="AB35" i="12"/>
  <c r="AB34" i="12"/>
  <c r="AB33" i="12"/>
  <c r="AB32" i="12"/>
  <c r="AA38" i="12"/>
  <c r="AA37" i="12"/>
  <c r="AA36" i="12"/>
  <c r="AA35" i="12"/>
  <c r="AA34" i="12"/>
  <c r="AA33" i="12"/>
  <c r="AA32" i="12"/>
  <c r="AF31" i="12"/>
  <c r="AE31" i="12"/>
  <c r="AF30" i="12"/>
  <c r="AE30" i="12"/>
  <c r="AF29" i="12"/>
  <c r="AE29" i="12"/>
  <c r="AF28" i="12"/>
  <c r="AE28" i="12"/>
  <c r="AF27" i="12"/>
  <c r="AE27" i="12"/>
  <c r="AD31" i="12"/>
  <c r="AC31" i="12"/>
  <c r="AD30" i="12"/>
  <c r="AC30" i="12"/>
  <c r="AD29" i="12"/>
  <c r="AC29" i="12"/>
  <c r="AD28" i="12"/>
  <c r="AC28" i="12"/>
  <c r="AD27" i="12"/>
  <c r="AC27" i="12"/>
  <c r="AB31" i="12"/>
  <c r="AA31" i="12"/>
  <c r="AB30" i="12"/>
  <c r="AA30" i="12"/>
  <c r="AB29" i="12"/>
  <c r="AA29" i="12"/>
  <c r="K31" i="12" s="1"/>
  <c r="AB28" i="12"/>
  <c r="AA28" i="12"/>
  <c r="AB27" i="12"/>
  <c r="AA27" i="12"/>
  <c r="AW21" i="12"/>
  <c r="AV21" i="12"/>
  <c r="AU21" i="12"/>
  <c r="AT21" i="12"/>
  <c r="AS21" i="12"/>
  <c r="AR21" i="12"/>
  <c r="AQ21" i="12"/>
  <c r="AP21" i="12"/>
  <c r="AH21" i="12"/>
  <c r="AG21" i="12"/>
  <c r="AF21" i="12"/>
  <c r="AE21" i="12"/>
  <c r="AD21" i="12"/>
  <c r="AC21" i="12"/>
  <c r="AB21" i="12"/>
  <c r="AA21" i="12"/>
  <c r="L38" i="12" l="1"/>
  <c r="L32" i="12"/>
  <c r="L30" i="12"/>
  <c r="L36" i="12"/>
  <c r="L37" i="12"/>
  <c r="L29" i="12"/>
  <c r="L33" i="12"/>
  <c r="L34" i="12"/>
  <c r="K34" i="12"/>
  <c r="K35" i="12"/>
  <c r="K39" i="12"/>
  <c r="K30" i="12"/>
  <c r="K29" i="12"/>
  <c r="K33" i="12"/>
  <c r="K38" i="12"/>
  <c r="L39" i="12"/>
  <c r="L40" i="12"/>
  <c r="L31" i="12"/>
  <c r="L35" i="12"/>
  <c r="M31" i="12" l="1"/>
  <c r="M34" i="12"/>
  <c r="K36" i="12"/>
  <c r="K32" i="12"/>
  <c r="K37" i="12"/>
  <c r="M29" i="12"/>
  <c r="M33" i="12"/>
  <c r="M38" i="12"/>
  <c r="K40" i="12"/>
  <c r="M35" i="12"/>
  <c r="M30" i="12"/>
  <c r="M39" i="12"/>
  <c r="P28" i="8"/>
  <c r="S39" i="8"/>
  <c r="S38" i="8"/>
  <c r="S37" i="8"/>
  <c r="S36" i="8"/>
  <c r="S35" i="8"/>
  <c r="S34" i="8"/>
  <c r="S33" i="8"/>
  <c r="S32" i="8"/>
  <c r="S31" i="8"/>
  <c r="S30" i="8"/>
  <c r="S29" i="8"/>
  <c r="S28" i="8"/>
  <c r="P39" i="8"/>
  <c r="P38" i="8"/>
  <c r="P37" i="8"/>
  <c r="P36" i="8"/>
  <c r="P35" i="8"/>
  <c r="P34" i="8"/>
  <c r="P33" i="8"/>
  <c r="P32" i="8"/>
  <c r="P31" i="8"/>
  <c r="P30" i="8"/>
  <c r="P29" i="8"/>
  <c r="F79" i="13"/>
  <c r="V79" i="13" s="1"/>
  <c r="G79" i="13"/>
  <c r="W79" i="13" s="1"/>
  <c r="H79" i="13"/>
  <c r="X79" i="13" s="1"/>
  <c r="I79" i="13"/>
  <c r="Y79" i="13" s="1"/>
  <c r="J79" i="13"/>
  <c r="Z79" i="13" s="1"/>
  <c r="K79" i="13"/>
  <c r="AA79" i="13" s="1"/>
  <c r="F80" i="13"/>
  <c r="V80" i="13" s="1"/>
  <c r="G80" i="13"/>
  <c r="W80" i="13" s="1"/>
  <c r="H80" i="13"/>
  <c r="X80" i="13" s="1"/>
  <c r="I80" i="13"/>
  <c r="Y80" i="13" s="1"/>
  <c r="J80" i="13"/>
  <c r="Z80" i="13" s="1"/>
  <c r="K80" i="13"/>
  <c r="AA80" i="13" s="1"/>
  <c r="F81" i="13"/>
  <c r="V81" i="13" s="1"/>
  <c r="G81" i="13"/>
  <c r="W81" i="13" s="1"/>
  <c r="H81" i="13"/>
  <c r="X81" i="13" s="1"/>
  <c r="I81" i="13"/>
  <c r="Y81" i="13" s="1"/>
  <c r="J81" i="13"/>
  <c r="Z81" i="13" s="1"/>
  <c r="K81" i="13"/>
  <c r="AA81" i="13" s="1"/>
  <c r="F82" i="13"/>
  <c r="V82" i="13" s="1"/>
  <c r="G82" i="13"/>
  <c r="W82" i="13" s="1"/>
  <c r="H82" i="13"/>
  <c r="X82" i="13" s="1"/>
  <c r="I82" i="13"/>
  <c r="Y82" i="13" s="1"/>
  <c r="J82" i="13"/>
  <c r="Z82" i="13" s="1"/>
  <c r="K82" i="13"/>
  <c r="AA82" i="13" s="1"/>
  <c r="F83" i="13"/>
  <c r="V83" i="13" s="1"/>
  <c r="G83" i="13"/>
  <c r="W83" i="13" s="1"/>
  <c r="H83" i="13"/>
  <c r="X83" i="13" s="1"/>
  <c r="I83" i="13"/>
  <c r="Y83" i="13" s="1"/>
  <c r="J83" i="13"/>
  <c r="Z83" i="13" s="1"/>
  <c r="K83" i="13"/>
  <c r="AA83" i="13" s="1"/>
  <c r="F84" i="13"/>
  <c r="V84" i="13" s="1"/>
  <c r="G84" i="13"/>
  <c r="W84" i="13" s="1"/>
  <c r="H84" i="13"/>
  <c r="X84" i="13" s="1"/>
  <c r="I84" i="13"/>
  <c r="Y84" i="13" s="1"/>
  <c r="J84" i="13"/>
  <c r="Z84" i="13" s="1"/>
  <c r="K84" i="13"/>
  <c r="AA84" i="13" s="1"/>
  <c r="F85" i="13"/>
  <c r="V85" i="13" s="1"/>
  <c r="G85" i="13"/>
  <c r="W85" i="13" s="1"/>
  <c r="H85" i="13"/>
  <c r="X85" i="13" s="1"/>
  <c r="I85" i="13"/>
  <c r="Y85" i="13" s="1"/>
  <c r="J85" i="13"/>
  <c r="Z85" i="13" s="1"/>
  <c r="K85" i="13"/>
  <c r="AA85" i="13" s="1"/>
  <c r="F86" i="13"/>
  <c r="V86" i="13" s="1"/>
  <c r="G86" i="13"/>
  <c r="W86" i="13" s="1"/>
  <c r="H86" i="13"/>
  <c r="X86" i="13" s="1"/>
  <c r="I86" i="13"/>
  <c r="Y86" i="13" s="1"/>
  <c r="J86" i="13"/>
  <c r="Z86" i="13" s="1"/>
  <c r="K86" i="13"/>
  <c r="AA86" i="13" s="1"/>
  <c r="F87" i="13"/>
  <c r="V87" i="13" s="1"/>
  <c r="G87" i="13"/>
  <c r="W87" i="13" s="1"/>
  <c r="H87" i="13"/>
  <c r="X87" i="13" s="1"/>
  <c r="I87" i="13"/>
  <c r="Y87" i="13" s="1"/>
  <c r="J87" i="13"/>
  <c r="Z87" i="13" s="1"/>
  <c r="K87" i="13"/>
  <c r="AA87" i="13" s="1"/>
  <c r="F88" i="13"/>
  <c r="V88" i="13" s="1"/>
  <c r="G88" i="13"/>
  <c r="W88" i="13" s="1"/>
  <c r="H88" i="13"/>
  <c r="X88" i="13" s="1"/>
  <c r="I88" i="13"/>
  <c r="Y88" i="13" s="1"/>
  <c r="J88" i="13"/>
  <c r="Z88" i="13" s="1"/>
  <c r="K88" i="13"/>
  <c r="AA88" i="13" s="1"/>
  <c r="F89" i="13"/>
  <c r="V89" i="13" s="1"/>
  <c r="G89" i="13"/>
  <c r="W89" i="13" s="1"/>
  <c r="H89" i="13"/>
  <c r="X89" i="13" s="1"/>
  <c r="I89" i="13"/>
  <c r="Y89" i="13" s="1"/>
  <c r="J89" i="13"/>
  <c r="Z89" i="13" s="1"/>
  <c r="K89" i="13"/>
  <c r="AA89" i="13" s="1"/>
  <c r="F90" i="13"/>
  <c r="V90" i="13" s="1"/>
  <c r="G90" i="13"/>
  <c r="W90" i="13" s="1"/>
  <c r="H90" i="13"/>
  <c r="X90" i="13" s="1"/>
  <c r="I90" i="13"/>
  <c r="Y90" i="13" s="1"/>
  <c r="J90" i="13"/>
  <c r="Z90" i="13" s="1"/>
  <c r="K90" i="13"/>
  <c r="AA90" i="13" s="1"/>
  <c r="F61" i="13"/>
  <c r="V61" i="13" s="1"/>
  <c r="G61" i="13"/>
  <c r="W61" i="13" s="1"/>
  <c r="H61" i="13"/>
  <c r="X61" i="13" s="1"/>
  <c r="I61" i="13"/>
  <c r="J61" i="13"/>
  <c r="Z61" i="13" s="1"/>
  <c r="K61" i="13"/>
  <c r="F62" i="13"/>
  <c r="V62" i="13" s="1"/>
  <c r="G62" i="13"/>
  <c r="W62" i="13" s="1"/>
  <c r="AB62" i="13" s="1"/>
  <c r="H62" i="13"/>
  <c r="X62" i="13" s="1"/>
  <c r="I62" i="13"/>
  <c r="J62" i="13"/>
  <c r="Z62" i="13" s="1"/>
  <c r="K62" i="13"/>
  <c r="F63" i="13"/>
  <c r="V63" i="13" s="1"/>
  <c r="G63" i="13"/>
  <c r="W63" i="13" s="1"/>
  <c r="H63" i="13"/>
  <c r="X63" i="13" s="1"/>
  <c r="I63" i="13"/>
  <c r="J63" i="13"/>
  <c r="Z63" i="13" s="1"/>
  <c r="AB63" i="13" s="1"/>
  <c r="K63" i="13"/>
  <c r="F64" i="13"/>
  <c r="V64" i="13" s="1"/>
  <c r="AB64" i="13" s="1"/>
  <c r="G64" i="13"/>
  <c r="W64" i="13" s="1"/>
  <c r="H64" i="13"/>
  <c r="X64" i="13" s="1"/>
  <c r="I64" i="13"/>
  <c r="J64" i="13"/>
  <c r="Z64" i="13" s="1"/>
  <c r="K64" i="13"/>
  <c r="F65" i="13"/>
  <c r="V65" i="13" s="1"/>
  <c r="AB65" i="13" s="1"/>
  <c r="G65" i="13"/>
  <c r="W65" i="13" s="1"/>
  <c r="H65" i="13"/>
  <c r="X65" i="13" s="1"/>
  <c r="I65" i="13"/>
  <c r="J65" i="13"/>
  <c r="Z65" i="13" s="1"/>
  <c r="K65" i="13"/>
  <c r="F66" i="13"/>
  <c r="V66" i="13" s="1"/>
  <c r="G66" i="13"/>
  <c r="W66" i="13" s="1"/>
  <c r="AB66" i="13" s="1"/>
  <c r="H66" i="13"/>
  <c r="X66" i="13" s="1"/>
  <c r="I66" i="13"/>
  <c r="J66" i="13"/>
  <c r="Z66" i="13" s="1"/>
  <c r="K66" i="13"/>
  <c r="F67" i="13"/>
  <c r="V67" i="13" s="1"/>
  <c r="G67" i="13"/>
  <c r="W67" i="13" s="1"/>
  <c r="H67" i="13"/>
  <c r="X67" i="13" s="1"/>
  <c r="I67" i="13"/>
  <c r="J67" i="13"/>
  <c r="Z67" i="13" s="1"/>
  <c r="AB67" i="13" s="1"/>
  <c r="K67" i="13"/>
  <c r="F68" i="13"/>
  <c r="V68" i="13" s="1"/>
  <c r="AB68" i="13" s="1"/>
  <c r="G68" i="13"/>
  <c r="W68" i="13" s="1"/>
  <c r="H68" i="13"/>
  <c r="X68" i="13" s="1"/>
  <c r="I68" i="13"/>
  <c r="J68" i="13"/>
  <c r="Z68" i="13" s="1"/>
  <c r="K68" i="13"/>
  <c r="F69" i="13"/>
  <c r="V69" i="13" s="1"/>
  <c r="AB69" i="13" s="1"/>
  <c r="G69" i="13"/>
  <c r="W69" i="13" s="1"/>
  <c r="H69" i="13"/>
  <c r="X69" i="13" s="1"/>
  <c r="I69" i="13"/>
  <c r="J69" i="13"/>
  <c r="Z69" i="13" s="1"/>
  <c r="K69" i="13"/>
  <c r="F70" i="13"/>
  <c r="V70" i="13" s="1"/>
  <c r="G70" i="13"/>
  <c r="W70" i="13" s="1"/>
  <c r="AB70" i="13" s="1"/>
  <c r="H70" i="13"/>
  <c r="X70" i="13" s="1"/>
  <c r="I70" i="13"/>
  <c r="J70" i="13"/>
  <c r="Z70" i="13" s="1"/>
  <c r="K70" i="13"/>
  <c r="F71" i="13"/>
  <c r="V71" i="13" s="1"/>
  <c r="G71" i="13"/>
  <c r="W71" i="13" s="1"/>
  <c r="H71" i="13"/>
  <c r="X71" i="13" s="1"/>
  <c r="I71" i="13"/>
  <c r="J71" i="13"/>
  <c r="Z71" i="13" s="1"/>
  <c r="AB71" i="13" s="1"/>
  <c r="K71" i="13"/>
  <c r="F72" i="13"/>
  <c r="V72" i="13" s="1"/>
  <c r="AB72" i="13" s="1"/>
  <c r="G72" i="13"/>
  <c r="W72" i="13" s="1"/>
  <c r="H72" i="13"/>
  <c r="X72" i="13" s="1"/>
  <c r="I72" i="13"/>
  <c r="J72" i="13"/>
  <c r="Z72" i="13" s="1"/>
  <c r="K72" i="13"/>
  <c r="L90" i="13"/>
  <c r="L89" i="13"/>
  <c r="L88" i="13"/>
  <c r="L87" i="13"/>
  <c r="L86" i="13"/>
  <c r="L85" i="13"/>
  <c r="L84" i="13"/>
  <c r="L83" i="13"/>
  <c r="L82" i="13"/>
  <c r="L81" i="13"/>
  <c r="L80" i="13"/>
  <c r="L79" i="13"/>
  <c r="L72" i="13"/>
  <c r="L71" i="13"/>
  <c r="L70" i="13"/>
  <c r="L69" i="13"/>
  <c r="L68" i="13"/>
  <c r="L67" i="13"/>
  <c r="L66" i="13"/>
  <c r="L65" i="13"/>
  <c r="L64" i="13"/>
  <c r="L63" i="13"/>
  <c r="L62" i="13"/>
  <c r="L61" i="13"/>
  <c r="V73" i="13" l="1"/>
  <c r="Z73" i="13"/>
  <c r="L91" i="13"/>
  <c r="X73" i="13"/>
  <c r="AB61" i="13"/>
  <c r="W73" i="13"/>
  <c r="M37" i="12"/>
  <c r="M32" i="12"/>
  <c r="M36" i="12"/>
  <c r="M40" i="12"/>
  <c r="AB90" i="13"/>
  <c r="AB82" i="13"/>
  <c r="AB86" i="13"/>
  <c r="AB79" i="13"/>
  <c r="AB83" i="13"/>
  <c r="AB88" i="13"/>
  <c r="AB84" i="13"/>
  <c r="AB80" i="13"/>
  <c r="AB87" i="13"/>
  <c r="AB89" i="13"/>
  <c r="AB85" i="13"/>
  <c r="AB81" i="13"/>
  <c r="V91" i="13"/>
  <c r="Z91" i="13"/>
  <c r="W91" i="13"/>
  <c r="L73" i="13"/>
  <c r="AA91" i="13"/>
  <c r="Y91" i="13"/>
  <c r="X91" i="13"/>
  <c r="AB73" i="13" l="1"/>
  <c r="AB91" i="13"/>
  <c r="AE26" i="13" l="1"/>
  <c r="AD26" i="13"/>
  <c r="AC26" i="13"/>
  <c r="AB26" i="13"/>
  <c r="AA26" i="13"/>
  <c r="Z26" i="13"/>
  <c r="Y26" i="13"/>
  <c r="X26" i="13"/>
  <c r="W26" i="13"/>
  <c r="V26" i="13"/>
  <c r="U26" i="13"/>
  <c r="T26" i="13"/>
  <c r="S26" i="13"/>
  <c r="R26" i="13"/>
  <c r="Q26" i="13"/>
  <c r="P26" i="13"/>
  <c r="AE25" i="13"/>
  <c r="AD25" i="13"/>
  <c r="AC25" i="13"/>
  <c r="AB25" i="13"/>
  <c r="AA25" i="13"/>
  <c r="Z25" i="13"/>
  <c r="Y25" i="13"/>
  <c r="X25" i="13"/>
  <c r="W25" i="13"/>
  <c r="V25" i="13"/>
  <c r="U25" i="13"/>
  <c r="T25" i="13"/>
  <c r="S25" i="13"/>
  <c r="R25" i="13"/>
  <c r="Q25" i="13"/>
  <c r="P25" i="13"/>
  <c r="AE24" i="13"/>
  <c r="AD24" i="13"/>
  <c r="AC24" i="13"/>
  <c r="AB24" i="13"/>
  <c r="AA24" i="13"/>
  <c r="Z24" i="13"/>
  <c r="Y24" i="13"/>
  <c r="X24" i="13"/>
  <c r="W24" i="13"/>
  <c r="V24" i="13"/>
  <c r="U24" i="13"/>
  <c r="T24" i="13"/>
  <c r="S24" i="13"/>
  <c r="R24" i="13"/>
  <c r="Q24" i="13"/>
  <c r="P24" i="13"/>
  <c r="AE23" i="13"/>
  <c r="AD23" i="13"/>
  <c r="AC23" i="13"/>
  <c r="AB23" i="13"/>
  <c r="AA23" i="13"/>
  <c r="Z23" i="13"/>
  <c r="Y23" i="13"/>
  <c r="X23" i="13"/>
  <c r="W23" i="13"/>
  <c r="V23" i="13"/>
  <c r="U23" i="13"/>
  <c r="T23" i="13"/>
  <c r="S23" i="13"/>
  <c r="R23" i="13"/>
  <c r="Q23" i="13"/>
  <c r="P23" i="13"/>
  <c r="AE22" i="13"/>
  <c r="AD22" i="13"/>
  <c r="AC22" i="13"/>
  <c r="AB22" i="13"/>
  <c r="AA22" i="13"/>
  <c r="Z22" i="13"/>
  <c r="Y22" i="13"/>
  <c r="X22" i="13"/>
  <c r="W22" i="13"/>
  <c r="V22" i="13"/>
  <c r="U22" i="13"/>
  <c r="T22" i="13"/>
  <c r="S22" i="13"/>
  <c r="R22" i="13"/>
  <c r="Q22" i="13"/>
  <c r="P22" i="13"/>
  <c r="M41" i="12"/>
  <c r="L41" i="12"/>
  <c r="K41" i="12"/>
  <c r="J41" i="12"/>
  <c r="I41" i="12"/>
  <c r="H41" i="12"/>
  <c r="G41" i="12"/>
  <c r="F41" i="12"/>
  <c r="E41" i="12"/>
  <c r="D41" i="12"/>
  <c r="C41" i="12"/>
  <c r="AD150" i="12"/>
  <c r="AD149" i="12"/>
  <c r="AD148" i="12"/>
  <c r="AD147" i="12"/>
  <c r="AD146" i="12"/>
  <c r="AE146" i="12" s="1"/>
  <c r="AD145" i="12"/>
  <c r="AD144" i="12"/>
  <c r="AD143" i="12"/>
  <c r="AD142" i="12"/>
  <c r="AD141" i="12"/>
  <c r="AD140" i="12"/>
  <c r="AD139" i="12"/>
  <c r="AD138" i="12"/>
  <c r="AD137" i="12"/>
  <c r="AD132" i="12"/>
  <c r="AD131" i="12"/>
  <c r="CP6" i="12" l="1"/>
  <c r="AE147" i="12"/>
  <c r="AE131" i="12"/>
  <c r="AE143" i="12"/>
  <c r="AE140" i="12"/>
  <c r="AE137" i="12"/>
  <c r="AE149" i="12"/>
  <c r="AN189" i="12" l="1"/>
  <c r="AM189" i="12"/>
  <c r="AL189" i="12"/>
  <c r="AK189" i="12"/>
  <c r="U125" i="12"/>
  <c r="T125" i="12"/>
  <c r="U124" i="12"/>
  <c r="T124" i="12"/>
  <c r="U123" i="12"/>
  <c r="T123" i="12"/>
  <c r="U122" i="12"/>
  <c r="T122" i="12"/>
  <c r="U121" i="12"/>
  <c r="T121" i="12"/>
  <c r="U120" i="12"/>
  <c r="T120" i="12"/>
  <c r="U119" i="12"/>
  <c r="T119" i="12"/>
  <c r="AS157" i="8" l="1"/>
  <c r="AS156" i="8"/>
  <c r="AS155" i="8"/>
  <c r="AS154" i="8"/>
  <c r="AS153" i="8"/>
  <c r="AS152" i="8"/>
  <c r="AS151" i="8"/>
  <c r="AS150" i="8"/>
  <c r="AS149" i="8"/>
  <c r="AS148" i="8"/>
  <c r="AS147" i="8"/>
  <c r="AS146" i="8"/>
  <c r="AS145" i="8"/>
  <c r="AS144" i="8"/>
  <c r="AS143" i="8"/>
  <c r="AS142" i="8"/>
  <c r="AS141" i="8"/>
  <c r="AS140" i="8"/>
  <c r="AS139" i="8"/>
  <c r="AS138" i="8"/>
  <c r="AS137" i="8"/>
  <c r="AS136" i="8"/>
  <c r="AS135" i="8"/>
  <c r="AS134" i="8"/>
  <c r="AS133" i="8"/>
  <c r="AS132" i="8"/>
  <c r="AS131" i="8"/>
  <c r="AS130" i="8"/>
  <c r="AS129" i="8"/>
  <c r="AS128" i="8"/>
  <c r="AS127" i="8"/>
  <c r="AS126" i="8"/>
  <c r="AS125" i="8"/>
  <c r="AS124" i="8"/>
  <c r="AS123" i="8"/>
  <c r="AS122" i="8"/>
  <c r="AS121" i="8"/>
  <c r="AS120" i="8"/>
  <c r="AS119" i="8"/>
  <c r="AS118" i="8"/>
  <c r="AS117" i="8"/>
  <c r="AS116" i="8"/>
  <c r="AS115" i="8"/>
  <c r="AS114" i="8"/>
  <c r="AS113" i="8"/>
  <c r="O8" i="9" l="1"/>
  <c r="N8" i="9"/>
  <c r="M8" i="9"/>
  <c r="L8" i="9"/>
  <c r="K8" i="9"/>
  <c r="J8" i="9"/>
  <c r="I8" i="9"/>
  <c r="H8" i="9"/>
  <c r="G8" i="9"/>
  <c r="F8" i="9"/>
  <c r="E8" i="9"/>
  <c r="D8" i="9"/>
  <c r="C8" i="9"/>
  <c r="O7" i="9"/>
  <c r="N7" i="9"/>
  <c r="M7" i="9"/>
  <c r="L7" i="9"/>
  <c r="K7" i="9"/>
  <c r="J7" i="9"/>
  <c r="I7" i="9"/>
  <c r="H7" i="9"/>
  <c r="G7" i="9"/>
  <c r="F7" i="9"/>
  <c r="E7" i="9"/>
  <c r="D7" i="9"/>
  <c r="C7" i="9"/>
  <c r="O6" i="9"/>
  <c r="N6" i="9"/>
  <c r="M6" i="9"/>
  <c r="L6" i="9"/>
  <c r="K6" i="9"/>
  <c r="J6" i="9"/>
  <c r="I6" i="9"/>
  <c r="H6" i="9"/>
  <c r="G6" i="9"/>
  <c r="F6" i="9"/>
  <c r="E6" i="9"/>
  <c r="D6" i="9"/>
  <c r="C6" i="9"/>
  <c r="O5" i="9"/>
  <c r="N5" i="9"/>
  <c r="M5" i="9"/>
  <c r="L5" i="9"/>
  <c r="K5" i="9"/>
  <c r="J5" i="9"/>
  <c r="I5" i="9"/>
  <c r="H5" i="9"/>
  <c r="G5" i="9"/>
  <c r="F5" i="9"/>
  <c r="E5" i="9"/>
  <c r="D5" i="9"/>
  <c r="C5" i="9"/>
  <c r="O4" i="9"/>
  <c r="N4" i="9"/>
  <c r="M4" i="9"/>
  <c r="L4" i="9"/>
  <c r="K4" i="9"/>
  <c r="J4" i="9"/>
  <c r="I4" i="9"/>
  <c r="H4" i="9"/>
  <c r="G4" i="9"/>
  <c r="F4" i="9"/>
  <c r="E4" i="9"/>
  <c r="D4" i="9"/>
  <c r="C4" i="9"/>
  <c r="O3" i="9"/>
  <c r="N3" i="9"/>
  <c r="M3" i="9"/>
  <c r="L3" i="9"/>
  <c r="K3" i="9"/>
  <c r="J3" i="9"/>
  <c r="I3" i="9"/>
  <c r="H3" i="9"/>
  <c r="G3" i="9"/>
  <c r="F3" i="9"/>
  <c r="E3" i="9"/>
  <c r="D3" i="9"/>
  <c r="C3" i="9"/>
  <c r="F9" i="7" l="1"/>
  <c r="X6" i="7" s="1"/>
  <c r="E9" i="7"/>
  <c r="W6" i="7" s="1"/>
  <c r="D9" i="7"/>
  <c r="V8" i="7" s="1"/>
  <c r="C9" i="7"/>
  <c r="U5" i="7" s="1"/>
  <c r="U12" i="7" s="1"/>
  <c r="B9" i="7"/>
  <c r="T5" i="7" s="1"/>
  <c r="G8" i="7"/>
  <c r="O8" i="7" s="1"/>
  <c r="G7" i="7"/>
  <c r="L7" i="7" s="1"/>
  <c r="G6" i="7"/>
  <c r="P6" i="7" s="1"/>
  <c r="G5" i="7"/>
  <c r="P5" i="7" s="1"/>
  <c r="P12" i="7" s="1"/>
  <c r="G4" i="7"/>
  <c r="O4" i="7" s="1"/>
  <c r="P8" i="9"/>
  <c r="P7" i="9"/>
  <c r="P6" i="9"/>
  <c r="P3" i="9"/>
  <c r="P5" i="9"/>
  <c r="P4" i="9"/>
  <c r="M6" i="7" l="1"/>
  <c r="X5" i="7"/>
  <c r="D90" i="12"/>
  <c r="D88" i="12"/>
  <c r="D97" i="12"/>
  <c r="D98" i="12"/>
  <c r="D94" i="12"/>
  <c r="D92" i="12"/>
  <c r="D89" i="12"/>
  <c r="D93" i="12"/>
  <c r="D99" i="12"/>
  <c r="D95" i="12"/>
  <c r="D96" i="12"/>
  <c r="D91" i="12"/>
  <c r="D100" i="12"/>
  <c r="G73" i="12"/>
  <c r="G72" i="12"/>
  <c r="G63" i="12"/>
  <c r="G67" i="12"/>
  <c r="G66" i="12"/>
  <c r="G64" i="12"/>
  <c r="G71" i="12"/>
  <c r="G69" i="12"/>
  <c r="G70" i="12"/>
  <c r="G68" i="12"/>
  <c r="G62" i="12"/>
  <c r="G65" i="12"/>
  <c r="G74" i="12"/>
  <c r="L6" i="7"/>
  <c r="M7" i="7"/>
  <c r="L4" i="7"/>
  <c r="N7" i="7"/>
  <c r="M4" i="7"/>
  <c r="O7" i="7"/>
  <c r="N4" i="7"/>
  <c r="P7" i="7"/>
  <c r="W8" i="7"/>
  <c r="O5" i="7"/>
  <c r="O12" i="7" s="1"/>
  <c r="P8" i="7"/>
  <c r="V5" i="7"/>
  <c r="T7" i="7"/>
  <c r="T4" i="7"/>
  <c r="W5" i="7"/>
  <c r="U7" i="7"/>
  <c r="W12" i="7" s="1"/>
  <c r="X8" i="7"/>
  <c r="V7" i="7"/>
  <c r="W7" i="7"/>
  <c r="C11" i="7"/>
  <c r="F11" i="7"/>
  <c r="B11" i="7"/>
  <c r="E11" i="7"/>
  <c r="D11" i="7"/>
  <c r="P4" i="7"/>
  <c r="N6" i="7"/>
  <c r="L8" i="7"/>
  <c r="W4" i="7"/>
  <c r="U6" i="7"/>
  <c r="V12" i="7" s="1"/>
  <c r="X7" i="7"/>
  <c r="U4" i="7"/>
  <c r="T6" i="7"/>
  <c r="G9" i="7"/>
  <c r="H9" i="7" s="1"/>
  <c r="L5" i="7"/>
  <c r="L12" i="7" s="1"/>
  <c r="O6" i="7"/>
  <c r="M8" i="7"/>
  <c r="X4" i="7"/>
  <c r="V6" i="7"/>
  <c r="T8" i="7"/>
  <c r="V4" i="7"/>
  <c r="M5" i="7"/>
  <c r="M12" i="7" s="1"/>
  <c r="N8" i="7"/>
  <c r="U8" i="7"/>
  <c r="X12" i="7" s="1"/>
  <c r="N5" i="7"/>
  <c r="N12" i="7" s="1"/>
  <c r="P287" i="8"/>
  <c r="R286" i="8"/>
  <c r="G287" i="8"/>
  <c r="H286" i="8"/>
  <c r="P285" i="8"/>
  <c r="R284" i="8"/>
  <c r="H285" i="8"/>
  <c r="H284" i="8"/>
  <c r="P283" i="8"/>
  <c r="R282" i="8"/>
  <c r="G283" i="8"/>
  <c r="H282" i="8"/>
  <c r="P281" i="8"/>
  <c r="R280" i="8"/>
  <c r="G281" i="8"/>
  <c r="H280" i="8"/>
  <c r="P279" i="8"/>
  <c r="R278" i="8"/>
  <c r="F279" i="8"/>
  <c r="H278" i="8"/>
  <c r="P277" i="8"/>
  <c r="R276" i="8"/>
  <c r="F277" i="8"/>
  <c r="H276" i="8"/>
  <c r="P275" i="8"/>
  <c r="R274" i="8"/>
  <c r="G275" i="8"/>
  <c r="H274" i="8"/>
  <c r="P273" i="8"/>
  <c r="Q272" i="8"/>
  <c r="F273" i="8"/>
  <c r="H272" i="8"/>
  <c r="P271" i="8"/>
  <c r="R270" i="8"/>
  <c r="H271" i="8"/>
  <c r="H270" i="8"/>
  <c r="P269" i="8"/>
  <c r="R268" i="8"/>
  <c r="F269" i="8"/>
  <c r="H268" i="8"/>
  <c r="S21" i="8"/>
  <c r="Q6" i="7" l="1"/>
  <c r="Q4" i="7"/>
  <c r="Q7" i="7"/>
  <c r="W9" i="7"/>
  <c r="F70" i="12"/>
  <c r="F68" i="12"/>
  <c r="F73" i="12"/>
  <c r="F63" i="12"/>
  <c r="F67" i="12"/>
  <c r="F72" i="12"/>
  <c r="F64" i="12"/>
  <c r="F69" i="12"/>
  <c r="F66" i="12"/>
  <c r="F71" i="12"/>
  <c r="F65" i="12"/>
  <c r="F62" i="12"/>
  <c r="F74" i="12"/>
  <c r="BS40" i="14"/>
  <c r="BX40" i="14"/>
  <c r="CA40" i="14"/>
  <c r="BW40" i="14"/>
  <c r="DP40" i="14" s="1"/>
  <c r="BQ40" i="14"/>
  <c r="BY40" i="14"/>
  <c r="BV40" i="14"/>
  <c r="DO40" i="14" s="1"/>
  <c r="BR40" i="14"/>
  <c r="DN40" i="14" s="1"/>
  <c r="CD40" i="14"/>
  <c r="BU40" i="14"/>
  <c r="CC40" i="14"/>
  <c r="CB40" i="14"/>
  <c r="BT40" i="14"/>
  <c r="BZ40" i="14"/>
  <c r="DQ40" i="14" s="1"/>
  <c r="AM89" i="12"/>
  <c r="AN89" i="12"/>
  <c r="AG89" i="12"/>
  <c r="DD89" i="12" s="1"/>
  <c r="AA89" i="12"/>
  <c r="AH89" i="12"/>
  <c r="AI89" i="12"/>
  <c r="AB89" i="12"/>
  <c r="DB89" i="12" s="1"/>
  <c r="AJ89" i="12"/>
  <c r="DE89" i="12" s="1"/>
  <c r="AC89" i="12"/>
  <c r="AK89" i="12"/>
  <c r="AD89" i="12"/>
  <c r="AE89" i="12"/>
  <c r="AF89" i="12"/>
  <c r="DC89" i="12" s="1"/>
  <c r="AL89" i="12"/>
  <c r="BS69" i="12"/>
  <c r="BX69" i="12"/>
  <c r="BY69" i="12"/>
  <c r="BR69" i="12"/>
  <c r="DN69" i="12" s="1"/>
  <c r="BU69" i="12"/>
  <c r="CA69" i="12"/>
  <c r="CC69" i="12"/>
  <c r="BW69" i="12"/>
  <c r="DP69" i="12" s="1"/>
  <c r="BV69" i="12"/>
  <c r="DO69" i="12" s="1"/>
  <c r="CD69" i="12"/>
  <c r="BQ69" i="12"/>
  <c r="BZ69" i="12"/>
  <c r="DQ69" i="12" s="1"/>
  <c r="BT69" i="12"/>
  <c r="CB69" i="12"/>
  <c r="CD115" i="13"/>
  <c r="CC115" i="13"/>
  <c r="BW115" i="13"/>
  <c r="DP115" i="13" s="1"/>
  <c r="CA115" i="13"/>
  <c r="CB115" i="13"/>
  <c r="BX115" i="13"/>
  <c r="BQ115" i="13"/>
  <c r="BS115" i="13"/>
  <c r="BY115" i="13"/>
  <c r="BT115" i="13"/>
  <c r="BR115" i="13"/>
  <c r="DN115" i="13" s="1"/>
  <c r="BZ115" i="13"/>
  <c r="DQ115" i="13" s="1"/>
  <c r="BU115" i="13"/>
  <c r="BV115" i="13"/>
  <c r="DO115" i="13" s="1"/>
  <c r="BR41" i="14"/>
  <c r="DN41" i="14" s="1"/>
  <c r="BQ41" i="14"/>
  <c r="BZ41" i="14"/>
  <c r="DQ41" i="14" s="1"/>
  <c r="BW41" i="14"/>
  <c r="DP41" i="14" s="1"/>
  <c r="BY41" i="14"/>
  <c r="BS41" i="14"/>
  <c r="CB41" i="14"/>
  <c r="BV41" i="14"/>
  <c r="DO41" i="14" s="1"/>
  <c r="CA41" i="14"/>
  <c r="BT41" i="14"/>
  <c r="BX41" i="14"/>
  <c r="CD41" i="14"/>
  <c r="CC41" i="14"/>
  <c r="BU41" i="14"/>
  <c r="BU109" i="13"/>
  <c r="CC109" i="13"/>
  <c r="BV109" i="13"/>
  <c r="DO109" i="13" s="1"/>
  <c r="BT109" i="13"/>
  <c r="CD109" i="13"/>
  <c r="BX109" i="13"/>
  <c r="CA109" i="13"/>
  <c r="BS109" i="13"/>
  <c r="BW109" i="13"/>
  <c r="DP109" i="13" s="1"/>
  <c r="BQ109" i="13"/>
  <c r="BY109" i="13"/>
  <c r="BR109" i="13"/>
  <c r="DN109" i="13" s="1"/>
  <c r="BZ109" i="13"/>
  <c r="DQ109" i="13" s="1"/>
  <c r="CB109" i="13"/>
  <c r="BS42" i="14"/>
  <c r="CA42" i="14"/>
  <c r="BX42" i="14"/>
  <c r="CB42" i="14"/>
  <c r="BZ42" i="14"/>
  <c r="DQ42" i="14" s="1"/>
  <c r="BW42" i="14"/>
  <c r="DP42" i="14" s="1"/>
  <c r="BY42" i="14"/>
  <c r="CC42" i="14"/>
  <c r="CD42" i="14"/>
  <c r="BU42" i="14"/>
  <c r="BR42" i="14"/>
  <c r="DN42" i="14" s="1"/>
  <c r="BV42" i="14"/>
  <c r="DO42" i="14" s="1"/>
  <c r="BT42" i="14"/>
  <c r="BQ42" i="14"/>
  <c r="AG92" i="12"/>
  <c r="DD92" i="12" s="1"/>
  <c r="AB92" i="12"/>
  <c r="DB92" i="12" s="1"/>
  <c r="AC92" i="12"/>
  <c r="AD92" i="12"/>
  <c r="AE92" i="12"/>
  <c r="AA92" i="12"/>
  <c r="AJ92" i="12"/>
  <c r="DE92" i="12" s="1"/>
  <c r="AK92" i="12"/>
  <c r="AL92" i="12"/>
  <c r="AH92" i="12"/>
  <c r="AI92" i="12"/>
  <c r="AF92" i="12"/>
  <c r="DC92" i="12" s="1"/>
  <c r="AM92" i="12"/>
  <c r="AN92" i="12"/>
  <c r="AM60" i="15"/>
  <c r="AE60" i="15"/>
  <c r="AG60" i="15"/>
  <c r="DD60" i="15" s="1"/>
  <c r="AL60" i="15"/>
  <c r="AD60" i="15"/>
  <c r="AK60" i="15"/>
  <c r="AC60" i="15"/>
  <c r="AJ60" i="15"/>
  <c r="DE60" i="15" s="1"/>
  <c r="AB60" i="15"/>
  <c r="DB60" i="15" s="1"/>
  <c r="AI60" i="15"/>
  <c r="AA60" i="15"/>
  <c r="AH60" i="15"/>
  <c r="AN60" i="15"/>
  <c r="AF60" i="15"/>
  <c r="DC60" i="15" s="1"/>
  <c r="BU111" i="13"/>
  <c r="BS111" i="13"/>
  <c r="CD111" i="13"/>
  <c r="CC111" i="13"/>
  <c r="CA111" i="13"/>
  <c r="BW111" i="13"/>
  <c r="DP111" i="13" s="1"/>
  <c r="CB111" i="13"/>
  <c r="BT111" i="13"/>
  <c r="BQ111" i="13"/>
  <c r="BX111" i="13"/>
  <c r="BY111" i="13"/>
  <c r="BV111" i="13"/>
  <c r="DO111" i="13" s="1"/>
  <c r="BZ111" i="13"/>
  <c r="DQ111" i="13" s="1"/>
  <c r="BR111" i="13"/>
  <c r="DN111" i="13" s="1"/>
  <c r="BZ38" i="14"/>
  <c r="DQ38" i="14" s="1"/>
  <c r="BQ38" i="14"/>
  <c r="BW38" i="14"/>
  <c r="DP38" i="14" s="1"/>
  <c r="BY38" i="14"/>
  <c r="BV38" i="14"/>
  <c r="DO38" i="14" s="1"/>
  <c r="BT38" i="14"/>
  <c r="BS38" i="14"/>
  <c r="CB38" i="14"/>
  <c r="CC38" i="14"/>
  <c r="CA38" i="14"/>
  <c r="BU38" i="14"/>
  <c r="BR38" i="14"/>
  <c r="DN38" i="14" s="1"/>
  <c r="BX38" i="14"/>
  <c r="CD38" i="14"/>
  <c r="F90" i="12"/>
  <c r="F98" i="12"/>
  <c r="F89" i="12"/>
  <c r="F94" i="12"/>
  <c r="F92" i="12"/>
  <c r="F97" i="12"/>
  <c r="F93" i="12"/>
  <c r="F88" i="12"/>
  <c r="F95" i="12"/>
  <c r="F99" i="12"/>
  <c r="F91" i="12"/>
  <c r="F96" i="12"/>
  <c r="F100" i="12"/>
  <c r="BX71" i="12"/>
  <c r="CC71" i="12"/>
  <c r="CB71" i="12"/>
  <c r="CA71" i="12"/>
  <c r="BZ71" i="12"/>
  <c r="DQ71" i="12" s="1"/>
  <c r="BW71" i="12"/>
  <c r="DP71" i="12" s="1"/>
  <c r="BS71" i="12"/>
  <c r="BV71" i="12"/>
  <c r="DO71" i="12" s="1"/>
  <c r="CD71" i="12"/>
  <c r="BU71" i="12"/>
  <c r="BT71" i="12"/>
  <c r="BQ71" i="12"/>
  <c r="BR71" i="12"/>
  <c r="DN71" i="12" s="1"/>
  <c r="BY71" i="12"/>
  <c r="CA17" i="15"/>
  <c r="BR17" i="15"/>
  <c r="DN17" i="15" s="1"/>
  <c r="CC17" i="15"/>
  <c r="BS17" i="15"/>
  <c r="BZ17" i="15"/>
  <c r="DQ17" i="15" s="1"/>
  <c r="BW17" i="15"/>
  <c r="DP17" i="15" s="1"/>
  <c r="BX17" i="15"/>
  <c r="BV17" i="15"/>
  <c r="DO17" i="15" s="1"/>
  <c r="BU17" i="15"/>
  <c r="CB17" i="15"/>
  <c r="CD17" i="15"/>
  <c r="BQ17" i="15"/>
  <c r="BY17" i="15"/>
  <c r="BT17" i="15"/>
  <c r="BT113" i="13"/>
  <c r="BX113" i="13"/>
  <c r="CB113" i="13"/>
  <c r="BQ113" i="13"/>
  <c r="BW113" i="13"/>
  <c r="DP113" i="13" s="1"/>
  <c r="BY113" i="13"/>
  <c r="BU113" i="13"/>
  <c r="BR113" i="13"/>
  <c r="DN113" i="13" s="1"/>
  <c r="BV113" i="13"/>
  <c r="DO113" i="13" s="1"/>
  <c r="BZ113" i="13"/>
  <c r="DQ113" i="13" s="1"/>
  <c r="CC113" i="13"/>
  <c r="BS113" i="13"/>
  <c r="CA113" i="13"/>
  <c r="CD113" i="13"/>
  <c r="D101" i="12"/>
  <c r="AL100" i="12"/>
  <c r="AH100" i="12"/>
  <c r="AD100" i="12"/>
  <c r="AA100" i="12"/>
  <c r="AK100" i="12"/>
  <c r="AG100" i="12"/>
  <c r="DD100" i="12" s="1"/>
  <c r="AC100" i="12"/>
  <c r="AN100" i="12"/>
  <c r="AJ100" i="12"/>
  <c r="DE100" i="12" s="1"/>
  <c r="AF100" i="12"/>
  <c r="DC100" i="12" s="1"/>
  <c r="AB100" i="12"/>
  <c r="DB100" i="12" s="1"/>
  <c r="AM100" i="12"/>
  <c r="AI100" i="12"/>
  <c r="AE100" i="12"/>
  <c r="AK94" i="12"/>
  <c r="AC94" i="12"/>
  <c r="AJ94" i="12"/>
  <c r="DE94" i="12" s="1"/>
  <c r="AB94" i="12"/>
  <c r="DB94" i="12" s="1"/>
  <c r="AI94" i="12"/>
  <c r="AA94" i="12"/>
  <c r="AH94" i="12"/>
  <c r="AG94" i="12"/>
  <c r="DD94" i="12" s="1"/>
  <c r="AN94" i="12"/>
  <c r="AF94" i="12"/>
  <c r="DC94" i="12" s="1"/>
  <c r="AM94" i="12"/>
  <c r="AE94" i="12"/>
  <c r="AL94" i="12"/>
  <c r="AD94" i="12"/>
  <c r="AC151" i="13"/>
  <c r="AH151" i="13"/>
  <c r="AK151" i="13"/>
  <c r="AI151" i="13"/>
  <c r="AD151" i="13"/>
  <c r="AA151" i="13"/>
  <c r="AM151" i="13"/>
  <c r="AJ151" i="13"/>
  <c r="DE151" i="13" s="1"/>
  <c r="AN151" i="13"/>
  <c r="AL151" i="13"/>
  <c r="AF151" i="13"/>
  <c r="DC151" i="13" s="1"/>
  <c r="AB151" i="13"/>
  <c r="DB151" i="13" s="1"/>
  <c r="AE151" i="13"/>
  <c r="AG151" i="13"/>
  <c r="DD151" i="13" s="1"/>
  <c r="AG147" i="13"/>
  <c r="DD147" i="13" s="1"/>
  <c r="AF147" i="13"/>
  <c r="DC147" i="13" s="1"/>
  <c r="AH147" i="13"/>
  <c r="AN147" i="13"/>
  <c r="AI147" i="13"/>
  <c r="AC147" i="13"/>
  <c r="AB147" i="13"/>
  <c r="DB147" i="13" s="1"/>
  <c r="AL147" i="13"/>
  <c r="AK147" i="13"/>
  <c r="AM147" i="13"/>
  <c r="AJ147" i="13"/>
  <c r="DE147" i="13" s="1"/>
  <c r="AD147" i="13"/>
  <c r="AE147" i="13"/>
  <c r="AA147" i="13"/>
  <c r="BR70" i="12"/>
  <c r="DN70" i="12" s="1"/>
  <c r="BV70" i="12"/>
  <c r="DO70" i="12" s="1"/>
  <c r="CC70" i="12"/>
  <c r="BY70" i="12"/>
  <c r="BW70" i="12"/>
  <c r="DP70" i="12" s="1"/>
  <c r="BT70" i="12"/>
  <c r="BX70" i="12"/>
  <c r="BQ70" i="12"/>
  <c r="CB70" i="12"/>
  <c r="BS70" i="12"/>
  <c r="CA70" i="12"/>
  <c r="BU70" i="12"/>
  <c r="BZ70" i="12"/>
  <c r="DQ70" i="12" s="1"/>
  <c r="CD70" i="12"/>
  <c r="AG155" i="13"/>
  <c r="DD155" i="13" s="1"/>
  <c r="AC155" i="13"/>
  <c r="AH155" i="13"/>
  <c r="AL155" i="13"/>
  <c r="AI155" i="13"/>
  <c r="AD155" i="13"/>
  <c r="AA155" i="13"/>
  <c r="AM155" i="13"/>
  <c r="AJ155" i="13"/>
  <c r="DE155" i="13" s="1"/>
  <c r="AE155" i="13"/>
  <c r="AN155" i="13"/>
  <c r="AK155" i="13"/>
  <c r="AF155" i="13"/>
  <c r="DC155" i="13" s="1"/>
  <c r="AB155" i="13"/>
  <c r="DB155" i="13" s="1"/>
  <c r="U9" i="7"/>
  <c r="Y12" i="7" s="1"/>
  <c r="T12" i="7"/>
  <c r="BT64" i="12"/>
  <c r="BS64" i="12"/>
  <c r="CB64" i="12"/>
  <c r="BX64" i="12"/>
  <c r="BW64" i="12"/>
  <c r="DP64" i="12" s="1"/>
  <c r="BQ64" i="12"/>
  <c r="CD64" i="12"/>
  <c r="BV64" i="12"/>
  <c r="DO64" i="12" s="1"/>
  <c r="BZ64" i="12"/>
  <c r="DQ64" i="12" s="1"/>
  <c r="CC64" i="12"/>
  <c r="BR64" i="12"/>
  <c r="DN64" i="12" s="1"/>
  <c r="BU64" i="12"/>
  <c r="BY64" i="12"/>
  <c r="CA64" i="12"/>
  <c r="BW37" i="14"/>
  <c r="DP37" i="14" s="1"/>
  <c r="CB37" i="14"/>
  <c r="BT37" i="14"/>
  <c r="BR37" i="14"/>
  <c r="DN37" i="14" s="1"/>
  <c r="BQ37" i="14"/>
  <c r="BZ37" i="14"/>
  <c r="DQ37" i="14" s="1"/>
  <c r="BU37" i="14"/>
  <c r="BY37" i="14"/>
  <c r="CD37" i="14"/>
  <c r="BS37" i="14"/>
  <c r="CC37" i="14"/>
  <c r="CA37" i="14"/>
  <c r="BX37" i="14"/>
  <c r="BV37" i="14"/>
  <c r="DO37" i="14" s="1"/>
  <c r="CC39" i="14"/>
  <c r="BW39" i="14"/>
  <c r="DP39" i="14" s="1"/>
  <c r="BT39" i="14"/>
  <c r="CB39" i="14"/>
  <c r="BS39" i="14"/>
  <c r="BY39" i="14"/>
  <c r="CA39" i="14"/>
  <c r="BU39" i="14"/>
  <c r="BQ39" i="14"/>
  <c r="BV39" i="14"/>
  <c r="DO39" i="14" s="1"/>
  <c r="CD39" i="14"/>
  <c r="BR39" i="14"/>
  <c r="DN39" i="14" s="1"/>
  <c r="BX39" i="14"/>
  <c r="BZ39" i="14"/>
  <c r="DQ39" i="14" s="1"/>
  <c r="AK91" i="12"/>
  <c r="AE91" i="12"/>
  <c r="AG91" i="12"/>
  <c r="DD91" i="12" s="1"/>
  <c r="AM91" i="12"/>
  <c r="AH91" i="12"/>
  <c r="AA91" i="12"/>
  <c r="AB91" i="12"/>
  <c r="DB91" i="12" s="1"/>
  <c r="AD91" i="12"/>
  <c r="AF91" i="12"/>
  <c r="DC91" i="12" s="1"/>
  <c r="AI91" i="12"/>
  <c r="AJ91" i="12"/>
  <c r="DE91" i="12" s="1"/>
  <c r="AC91" i="12"/>
  <c r="AN91" i="12"/>
  <c r="AL91" i="12"/>
  <c r="AM98" i="12"/>
  <c r="AE98" i="12"/>
  <c r="AL98" i="12"/>
  <c r="AD98" i="12"/>
  <c r="AK98" i="12"/>
  <c r="AC98" i="12"/>
  <c r="AJ98" i="12"/>
  <c r="DE98" i="12" s="1"/>
  <c r="AB98" i="12"/>
  <c r="DB98" i="12" s="1"/>
  <c r="AI98" i="12"/>
  <c r="AA98" i="12"/>
  <c r="AH98" i="12"/>
  <c r="AG98" i="12"/>
  <c r="DD98" i="12" s="1"/>
  <c r="AN98" i="12"/>
  <c r="AF98" i="12"/>
  <c r="DC98" i="12" s="1"/>
  <c r="AH146" i="13"/>
  <c r="AE146" i="13"/>
  <c r="AC146" i="13"/>
  <c r="AL146" i="13"/>
  <c r="AD146" i="13"/>
  <c r="AB146" i="13"/>
  <c r="DB146" i="13" s="1"/>
  <c r="AM146" i="13"/>
  <c r="AI146" i="13"/>
  <c r="AG146" i="13"/>
  <c r="DD146" i="13" s="1"/>
  <c r="AA146" i="13"/>
  <c r="AF146" i="13"/>
  <c r="DC146" i="13" s="1"/>
  <c r="AN146" i="13"/>
  <c r="AK146" i="13"/>
  <c r="AJ146" i="13"/>
  <c r="DE146" i="13" s="1"/>
  <c r="AK80" i="14"/>
  <c r="AG80" i="14"/>
  <c r="DD80" i="14" s="1"/>
  <c r="AC80" i="14"/>
  <c r="AN80" i="14"/>
  <c r="AJ80" i="14"/>
  <c r="DE80" i="14" s="1"/>
  <c r="AF80" i="14"/>
  <c r="DC80" i="14" s="1"/>
  <c r="AB80" i="14"/>
  <c r="DB80" i="14" s="1"/>
  <c r="AL80" i="14"/>
  <c r="AI80" i="14"/>
  <c r="AD80" i="14"/>
  <c r="AA80" i="14"/>
  <c r="AM80" i="14"/>
  <c r="AE80" i="14"/>
  <c r="AH80" i="14"/>
  <c r="AJ148" i="13"/>
  <c r="DE148" i="13" s="1"/>
  <c r="AF148" i="13"/>
  <c r="DC148" i="13" s="1"/>
  <c r="AC148" i="13"/>
  <c r="AN148" i="13"/>
  <c r="AK148" i="13"/>
  <c r="AD148" i="13"/>
  <c r="AA148" i="13"/>
  <c r="AE148" i="13"/>
  <c r="AI148" i="13"/>
  <c r="AM148" i="13"/>
  <c r="AG148" i="13"/>
  <c r="DD148" i="13" s="1"/>
  <c r="AH148" i="13"/>
  <c r="AB148" i="13"/>
  <c r="DB148" i="13" s="1"/>
  <c r="AL148" i="13"/>
  <c r="G75" i="12"/>
  <c r="BV74" i="12"/>
  <c r="DO74" i="12" s="1"/>
  <c r="BW74" i="12"/>
  <c r="DP74" i="12" s="1"/>
  <c r="BS74" i="12"/>
  <c r="CA74" i="12"/>
  <c r="BQ74" i="12"/>
  <c r="CD74" i="12"/>
  <c r="BY74" i="12"/>
  <c r="BT74" i="12"/>
  <c r="BX74" i="12"/>
  <c r="CB74" i="12"/>
  <c r="BR74" i="12"/>
  <c r="DN74" i="12" s="1"/>
  <c r="BU74" i="12"/>
  <c r="BZ74" i="12"/>
  <c r="DQ74" i="12" s="1"/>
  <c r="CC74" i="12"/>
  <c r="BW66" i="12"/>
  <c r="DP66" i="12" s="1"/>
  <c r="BV66" i="12"/>
  <c r="DO66" i="12" s="1"/>
  <c r="BU66" i="12"/>
  <c r="CC66" i="12"/>
  <c r="CD66" i="12"/>
  <c r="BX66" i="12"/>
  <c r="BY66" i="12"/>
  <c r="CA66" i="12"/>
  <c r="BS66" i="12"/>
  <c r="BQ66" i="12"/>
  <c r="CB66" i="12"/>
  <c r="BZ66" i="12"/>
  <c r="DQ66" i="12" s="1"/>
  <c r="BT66" i="12"/>
  <c r="BR66" i="12"/>
  <c r="DN66" i="12" s="1"/>
  <c r="BT110" i="13"/>
  <c r="CB110" i="13"/>
  <c r="BQ110" i="13"/>
  <c r="BU110" i="13"/>
  <c r="BY110" i="13"/>
  <c r="CC110" i="13"/>
  <c r="BZ110" i="13"/>
  <c r="DQ110" i="13" s="1"/>
  <c r="CD110" i="13"/>
  <c r="BS110" i="13"/>
  <c r="BX110" i="13"/>
  <c r="BR110" i="13"/>
  <c r="DN110" i="13" s="1"/>
  <c r="CA110" i="13"/>
  <c r="BV110" i="13"/>
  <c r="DO110" i="13" s="1"/>
  <c r="BW110" i="13"/>
  <c r="DP110" i="13" s="1"/>
  <c r="CD104" i="13"/>
  <c r="BT104" i="13"/>
  <c r="BX104" i="13"/>
  <c r="CB104" i="13"/>
  <c r="BQ104" i="13"/>
  <c r="BU104" i="13"/>
  <c r="BY104" i="13"/>
  <c r="CC104" i="13"/>
  <c r="BR104" i="13"/>
  <c r="DN104" i="13" s="1"/>
  <c r="BW104" i="13"/>
  <c r="DP104" i="13" s="1"/>
  <c r="BS104" i="13"/>
  <c r="BZ104" i="13"/>
  <c r="DQ104" i="13" s="1"/>
  <c r="CA104" i="13"/>
  <c r="BV104" i="13"/>
  <c r="DO104" i="13" s="1"/>
  <c r="AJ96" i="12"/>
  <c r="DE96" i="12" s="1"/>
  <c r="AB96" i="12"/>
  <c r="DB96" i="12" s="1"/>
  <c r="AG96" i="12"/>
  <c r="DD96" i="12" s="1"/>
  <c r="AH96" i="12"/>
  <c r="AC96" i="12"/>
  <c r="AA96" i="12"/>
  <c r="AI96" i="12"/>
  <c r="AD96" i="12"/>
  <c r="AE96" i="12"/>
  <c r="AF96" i="12"/>
  <c r="DC96" i="12" s="1"/>
  <c r="AK96" i="12"/>
  <c r="AL96" i="12"/>
  <c r="AM96" i="12"/>
  <c r="AN96" i="12"/>
  <c r="AI97" i="12"/>
  <c r="AJ97" i="12"/>
  <c r="DE97" i="12" s="1"/>
  <c r="AN97" i="12"/>
  <c r="AA97" i="12"/>
  <c r="AG97" i="12"/>
  <c r="DD97" i="12" s="1"/>
  <c r="AH97" i="12"/>
  <c r="AC97" i="12"/>
  <c r="AK97" i="12"/>
  <c r="AD97" i="12"/>
  <c r="AB97" i="12"/>
  <c r="DB97" i="12" s="1"/>
  <c r="AL97" i="12"/>
  <c r="AE97" i="12"/>
  <c r="AM97" i="12"/>
  <c r="AF97" i="12"/>
  <c r="DC97" i="12" s="1"/>
  <c r="AD150" i="13"/>
  <c r="AK150" i="13"/>
  <c r="AG150" i="13"/>
  <c r="DD150" i="13" s="1"/>
  <c r="AL150" i="13"/>
  <c r="AH150" i="13"/>
  <c r="AA150" i="13"/>
  <c r="AB150" i="13"/>
  <c r="DB150" i="13" s="1"/>
  <c r="AM150" i="13"/>
  <c r="AE150" i="13"/>
  <c r="AN150" i="13"/>
  <c r="AF150" i="13"/>
  <c r="DC150" i="13" s="1"/>
  <c r="AJ150" i="13"/>
  <c r="DE150" i="13" s="1"/>
  <c r="AI150" i="13"/>
  <c r="AC150" i="13"/>
  <c r="AK149" i="13"/>
  <c r="AB149" i="13"/>
  <c r="DB149" i="13" s="1"/>
  <c r="AD149" i="13"/>
  <c r="AJ149" i="13"/>
  <c r="DE149" i="13" s="1"/>
  <c r="AL149" i="13"/>
  <c r="AA149" i="13"/>
  <c r="AE149" i="13"/>
  <c r="AH149" i="13"/>
  <c r="AM149" i="13"/>
  <c r="AI149" i="13"/>
  <c r="AF149" i="13"/>
  <c r="DC149" i="13" s="1"/>
  <c r="AC149" i="13"/>
  <c r="AG149" i="13"/>
  <c r="DD149" i="13" s="1"/>
  <c r="AN149" i="13"/>
  <c r="AK152" i="13"/>
  <c r="AI152" i="13"/>
  <c r="AE152" i="13"/>
  <c r="AA152" i="13"/>
  <c r="AN152" i="13"/>
  <c r="AJ152" i="13"/>
  <c r="DE152" i="13" s="1"/>
  <c r="AF152" i="13"/>
  <c r="DC152" i="13" s="1"/>
  <c r="AB152" i="13"/>
  <c r="DB152" i="13" s="1"/>
  <c r="AC152" i="13"/>
  <c r="AL152" i="13"/>
  <c r="AG152" i="13"/>
  <c r="DD152" i="13" s="1"/>
  <c r="AD152" i="13"/>
  <c r="AH152" i="13"/>
  <c r="AM152" i="13"/>
  <c r="C63" i="12"/>
  <c r="C69" i="12"/>
  <c r="C66" i="12"/>
  <c r="C72" i="12"/>
  <c r="C64" i="12"/>
  <c r="C65" i="12"/>
  <c r="C71" i="12"/>
  <c r="C70" i="12"/>
  <c r="C62" i="12"/>
  <c r="C68" i="12"/>
  <c r="C73" i="12"/>
  <c r="C67" i="12"/>
  <c r="C74" i="12"/>
  <c r="E90" i="12"/>
  <c r="E88" i="12"/>
  <c r="E89" i="12"/>
  <c r="E93" i="12"/>
  <c r="E92" i="12"/>
  <c r="E97" i="12"/>
  <c r="E98" i="12"/>
  <c r="E94" i="12"/>
  <c r="E91" i="12"/>
  <c r="E95" i="12"/>
  <c r="E99" i="12"/>
  <c r="E96" i="12"/>
  <c r="E100" i="12"/>
  <c r="BR65" i="12"/>
  <c r="DN65" i="12" s="1"/>
  <c r="BQ65" i="12"/>
  <c r="CB65" i="12"/>
  <c r="BT65" i="12"/>
  <c r="BU65" i="12"/>
  <c r="BZ65" i="12"/>
  <c r="DQ65" i="12" s="1"/>
  <c r="CC65" i="12"/>
  <c r="BS65" i="12"/>
  <c r="BW65" i="12"/>
  <c r="DP65" i="12" s="1"/>
  <c r="BY65" i="12"/>
  <c r="BV65" i="12"/>
  <c r="DO65" i="12" s="1"/>
  <c r="BX65" i="12"/>
  <c r="CA65" i="12"/>
  <c r="CD65" i="12"/>
  <c r="BU67" i="12"/>
  <c r="BS67" i="12"/>
  <c r="CB67" i="12"/>
  <c r="CA67" i="12"/>
  <c r="BW67" i="12"/>
  <c r="DP67" i="12" s="1"/>
  <c r="BT67" i="12"/>
  <c r="BQ67" i="12"/>
  <c r="CD67" i="12"/>
  <c r="BY67" i="12"/>
  <c r="BV67" i="12"/>
  <c r="DO67" i="12" s="1"/>
  <c r="BZ67" i="12"/>
  <c r="DQ67" i="12" s="1"/>
  <c r="BX67" i="12"/>
  <c r="CC67" i="12"/>
  <c r="BR67" i="12"/>
  <c r="DN67" i="12" s="1"/>
  <c r="BQ106" i="13"/>
  <c r="BY106" i="13"/>
  <c r="BT106" i="13"/>
  <c r="BR106" i="13"/>
  <c r="DN106" i="13" s="1"/>
  <c r="CB106" i="13"/>
  <c r="BZ106" i="13"/>
  <c r="DQ106" i="13" s="1"/>
  <c r="BV106" i="13"/>
  <c r="DO106" i="13" s="1"/>
  <c r="BS106" i="13"/>
  <c r="CD106" i="13"/>
  <c r="CA106" i="13"/>
  <c r="BX106" i="13"/>
  <c r="BU106" i="13"/>
  <c r="BW106" i="13"/>
  <c r="DP106" i="13" s="1"/>
  <c r="CC106" i="13"/>
  <c r="BZ112" i="13"/>
  <c r="DQ112" i="13" s="1"/>
  <c r="BY112" i="13"/>
  <c r="BR112" i="13"/>
  <c r="DN112" i="13" s="1"/>
  <c r="BW112" i="13"/>
  <c r="DP112" i="13" s="1"/>
  <c r="CB112" i="13"/>
  <c r="BX112" i="13"/>
  <c r="BT112" i="13"/>
  <c r="CC112" i="13"/>
  <c r="CA112" i="13"/>
  <c r="CD112" i="13"/>
  <c r="BS112" i="13"/>
  <c r="BQ112" i="13"/>
  <c r="BU112" i="13"/>
  <c r="BV112" i="13"/>
  <c r="DO112" i="13" s="1"/>
  <c r="AI95" i="12"/>
  <c r="AJ95" i="12"/>
  <c r="DE95" i="12" s="1"/>
  <c r="AE95" i="12"/>
  <c r="AC95" i="12"/>
  <c r="AM95" i="12"/>
  <c r="AK95" i="12"/>
  <c r="AF95" i="12"/>
  <c r="DC95" i="12" s="1"/>
  <c r="AN95" i="12"/>
  <c r="AB95" i="12"/>
  <c r="DB95" i="12" s="1"/>
  <c r="AG95" i="12"/>
  <c r="DD95" i="12" s="1"/>
  <c r="AH95" i="12"/>
  <c r="AA95" i="12"/>
  <c r="AD95" i="12"/>
  <c r="AL95" i="12"/>
  <c r="AJ88" i="12"/>
  <c r="DE88" i="12" s="1"/>
  <c r="AK88" i="12"/>
  <c r="AG88" i="12"/>
  <c r="DD88" i="12" s="1"/>
  <c r="AH88" i="12"/>
  <c r="AA88" i="12"/>
  <c r="AC88" i="12"/>
  <c r="AI88" i="12"/>
  <c r="AD88" i="12"/>
  <c r="AE88" i="12"/>
  <c r="AF88" i="12"/>
  <c r="DC88" i="12" s="1"/>
  <c r="AL88" i="12"/>
  <c r="AM88" i="12"/>
  <c r="AN88" i="12"/>
  <c r="AB88" i="12"/>
  <c r="DB88" i="12" s="1"/>
  <c r="AD154" i="13"/>
  <c r="AL154" i="13"/>
  <c r="AA154" i="13"/>
  <c r="AE154" i="13"/>
  <c r="AI154" i="13"/>
  <c r="AM154" i="13"/>
  <c r="AB154" i="13"/>
  <c r="DB154" i="13" s="1"/>
  <c r="AF154" i="13"/>
  <c r="DC154" i="13" s="1"/>
  <c r="AJ154" i="13"/>
  <c r="DE154" i="13" s="1"/>
  <c r="AN154" i="13"/>
  <c r="AK154" i="13"/>
  <c r="AH154" i="13"/>
  <c r="AC154" i="13"/>
  <c r="AG154" i="13"/>
  <c r="DD154" i="13" s="1"/>
  <c r="AI153" i="13"/>
  <c r="AE153" i="13"/>
  <c r="AB153" i="13"/>
  <c r="DB153" i="13" s="1"/>
  <c r="AM153" i="13"/>
  <c r="AJ153" i="13"/>
  <c r="DE153" i="13" s="1"/>
  <c r="AF153" i="13"/>
  <c r="DC153" i="13" s="1"/>
  <c r="AC153" i="13"/>
  <c r="AN153" i="13"/>
  <c r="AK153" i="13"/>
  <c r="AG153" i="13"/>
  <c r="DD153" i="13" s="1"/>
  <c r="AD153" i="13"/>
  <c r="AL153" i="13"/>
  <c r="AH153" i="13"/>
  <c r="AA153" i="13"/>
  <c r="AM156" i="13"/>
  <c r="AB156" i="13"/>
  <c r="DB156" i="13" s="1"/>
  <c r="AI156" i="13"/>
  <c r="AJ156" i="13"/>
  <c r="DE156" i="13" s="1"/>
  <c r="AE156" i="13"/>
  <c r="AA156" i="13"/>
  <c r="AN156" i="13"/>
  <c r="AK156" i="13"/>
  <c r="AF156" i="13"/>
  <c r="DC156" i="13" s="1"/>
  <c r="AC156" i="13"/>
  <c r="AG156" i="13"/>
  <c r="DD156" i="13" s="1"/>
  <c r="AL156" i="13"/>
  <c r="AD156" i="13"/>
  <c r="AH156" i="13"/>
  <c r="AM83" i="14"/>
  <c r="AI83" i="14"/>
  <c r="AE83" i="14"/>
  <c r="AA83" i="14"/>
  <c r="AL83" i="14"/>
  <c r="AH83" i="14"/>
  <c r="AD83" i="14"/>
  <c r="AG83" i="14"/>
  <c r="DD83" i="14" s="1"/>
  <c r="AK83" i="14"/>
  <c r="AC83" i="14"/>
  <c r="AJ83" i="14"/>
  <c r="DE83" i="14" s="1"/>
  <c r="AF83" i="14"/>
  <c r="DC83" i="14" s="1"/>
  <c r="AN83" i="14"/>
  <c r="AB83" i="14"/>
  <c r="DB83" i="14" s="1"/>
  <c r="E64" i="12"/>
  <c r="E65" i="12"/>
  <c r="E68" i="12"/>
  <c r="E73" i="12"/>
  <c r="E63" i="12"/>
  <c r="E62" i="12"/>
  <c r="E66" i="12"/>
  <c r="E71" i="12"/>
  <c r="E72" i="12"/>
  <c r="E69" i="12"/>
  <c r="E70" i="12"/>
  <c r="E67" i="12"/>
  <c r="E74" i="12"/>
  <c r="Q8" i="7"/>
  <c r="BS62" i="12"/>
  <c r="BW62" i="12"/>
  <c r="DP62" i="12" s="1"/>
  <c r="BX62" i="12"/>
  <c r="BV62" i="12"/>
  <c r="DO62" i="12" s="1"/>
  <c r="BU62" i="12"/>
  <c r="BZ62" i="12"/>
  <c r="DQ62" i="12" s="1"/>
  <c r="BY62" i="12"/>
  <c r="CB62" i="12"/>
  <c r="CA62" i="12"/>
  <c r="BR62" i="12"/>
  <c r="DN62" i="12" s="1"/>
  <c r="BQ62" i="12"/>
  <c r="BT62" i="12"/>
  <c r="CD62" i="12"/>
  <c r="CC62" i="12"/>
  <c r="BU63" i="12"/>
  <c r="BR63" i="12"/>
  <c r="DN63" i="12" s="1"/>
  <c r="CC63" i="12"/>
  <c r="BS63" i="12"/>
  <c r="BV63" i="12"/>
  <c r="DO63" i="12" s="1"/>
  <c r="CB63" i="12"/>
  <c r="BT63" i="12"/>
  <c r="BQ63" i="12"/>
  <c r="BZ63" i="12"/>
  <c r="DQ63" i="12" s="1"/>
  <c r="BX63" i="12"/>
  <c r="BW63" i="12"/>
  <c r="DP63" i="12" s="1"/>
  <c r="BY63" i="12"/>
  <c r="CA63" i="12"/>
  <c r="CD63" i="12"/>
  <c r="BU103" i="13"/>
  <c r="CA103" i="13"/>
  <c r="CC103" i="13"/>
  <c r="BS103" i="13"/>
  <c r="BV103" i="13"/>
  <c r="DO103" i="13" s="1"/>
  <c r="CD103" i="13"/>
  <c r="BZ103" i="13"/>
  <c r="DQ103" i="13" s="1"/>
  <c r="BX103" i="13"/>
  <c r="BT103" i="13"/>
  <c r="BQ103" i="13"/>
  <c r="BW103" i="13"/>
  <c r="DP103" i="13" s="1"/>
  <c r="BR103" i="13"/>
  <c r="DN103" i="13" s="1"/>
  <c r="CB103" i="13"/>
  <c r="BY103" i="13"/>
  <c r="CD114" i="13"/>
  <c r="BR114" i="13"/>
  <c r="DN114" i="13" s="1"/>
  <c r="BW114" i="13"/>
  <c r="DP114" i="13" s="1"/>
  <c r="BX114" i="13"/>
  <c r="BT114" i="13"/>
  <c r="BS114" i="13"/>
  <c r="CB114" i="13"/>
  <c r="CA114" i="13"/>
  <c r="BU114" i="13"/>
  <c r="BY114" i="13"/>
  <c r="CC114" i="13"/>
  <c r="BV114" i="13"/>
  <c r="DO114" i="13" s="1"/>
  <c r="BQ114" i="13"/>
  <c r="BZ114" i="13"/>
  <c r="DQ114" i="13" s="1"/>
  <c r="AK99" i="12"/>
  <c r="AF99" i="12"/>
  <c r="DC99" i="12" s="1"/>
  <c r="AL99" i="12"/>
  <c r="AN99" i="12"/>
  <c r="AG99" i="12"/>
  <c r="DD99" i="12" s="1"/>
  <c r="AE99" i="12"/>
  <c r="AM99" i="12"/>
  <c r="AH99" i="12"/>
  <c r="AD99" i="12"/>
  <c r="AA99" i="12"/>
  <c r="AB99" i="12"/>
  <c r="DB99" i="12" s="1"/>
  <c r="AC99" i="12"/>
  <c r="AI99" i="12"/>
  <c r="AJ99" i="12"/>
  <c r="DE99" i="12" s="1"/>
  <c r="AI90" i="12"/>
  <c r="AA90" i="12"/>
  <c r="AH90" i="12"/>
  <c r="AG90" i="12"/>
  <c r="DD90" i="12" s="1"/>
  <c r="AN90" i="12"/>
  <c r="AF90" i="12"/>
  <c r="DC90" i="12" s="1"/>
  <c r="AM90" i="12"/>
  <c r="AE90" i="12"/>
  <c r="AL90" i="12"/>
  <c r="AD90" i="12"/>
  <c r="AK90" i="12"/>
  <c r="AC90" i="12"/>
  <c r="AJ90" i="12"/>
  <c r="DE90" i="12" s="1"/>
  <c r="AB90" i="12"/>
  <c r="DB90" i="12" s="1"/>
  <c r="AB158" i="13"/>
  <c r="DB158" i="13" s="1"/>
  <c r="AM158" i="13"/>
  <c r="AJ158" i="13"/>
  <c r="DE158" i="13" s="1"/>
  <c r="AF158" i="13"/>
  <c r="DC158" i="13" s="1"/>
  <c r="AD158" i="13"/>
  <c r="AN158" i="13"/>
  <c r="AH158" i="13"/>
  <c r="AG158" i="13"/>
  <c r="DD158" i="13" s="1"/>
  <c r="AC158" i="13"/>
  <c r="AK158" i="13"/>
  <c r="AE158" i="13"/>
  <c r="AA158" i="13"/>
  <c r="AL158" i="13"/>
  <c r="AI158" i="13"/>
  <c r="AB157" i="13"/>
  <c r="DB157" i="13" s="1"/>
  <c r="AF157" i="13"/>
  <c r="DC157" i="13" s="1"/>
  <c r="AJ157" i="13"/>
  <c r="DE157" i="13" s="1"/>
  <c r="AC157" i="13"/>
  <c r="AG157" i="13"/>
  <c r="DD157" i="13" s="1"/>
  <c r="AK157" i="13"/>
  <c r="AH157" i="13"/>
  <c r="AD157" i="13"/>
  <c r="AA157" i="13"/>
  <c r="AL157" i="13"/>
  <c r="AI157" i="13"/>
  <c r="AN157" i="13"/>
  <c r="AM157" i="13"/>
  <c r="AE157" i="13"/>
  <c r="AE81" i="14"/>
  <c r="AI81" i="14"/>
  <c r="AL81" i="14"/>
  <c r="AA81" i="14"/>
  <c r="AD81" i="14"/>
  <c r="AH81" i="14"/>
  <c r="AG81" i="14"/>
  <c r="DD81" i="14" s="1"/>
  <c r="AN81" i="14"/>
  <c r="AK81" i="14"/>
  <c r="AF81" i="14"/>
  <c r="DC81" i="14" s="1"/>
  <c r="AC81" i="14"/>
  <c r="AM81" i="14"/>
  <c r="AB81" i="14"/>
  <c r="DB81" i="14" s="1"/>
  <c r="AJ81" i="14"/>
  <c r="DE81" i="14" s="1"/>
  <c r="BU73" i="12"/>
  <c r="CB73" i="12"/>
  <c r="BW73" i="12"/>
  <c r="DP73" i="12" s="1"/>
  <c r="BS73" i="12"/>
  <c r="BZ73" i="12"/>
  <c r="DQ73" i="12" s="1"/>
  <c r="BY73" i="12"/>
  <c r="CD73" i="12"/>
  <c r="BR73" i="12"/>
  <c r="DN73" i="12" s="1"/>
  <c r="BQ73" i="12"/>
  <c r="CA73" i="12"/>
  <c r="BX73" i="12"/>
  <c r="BV73" i="12"/>
  <c r="DO73" i="12" s="1"/>
  <c r="CC73" i="12"/>
  <c r="BT73" i="12"/>
  <c r="BY105" i="13"/>
  <c r="CD105" i="13"/>
  <c r="BS105" i="13"/>
  <c r="BW105" i="13"/>
  <c r="DP105" i="13" s="1"/>
  <c r="CA105" i="13"/>
  <c r="BX105" i="13"/>
  <c r="BT105" i="13"/>
  <c r="BZ105" i="13"/>
  <c r="DQ105" i="13" s="1"/>
  <c r="CB105" i="13"/>
  <c r="BR105" i="13"/>
  <c r="DN105" i="13" s="1"/>
  <c r="BU105" i="13"/>
  <c r="CC105" i="13"/>
  <c r="BV105" i="13"/>
  <c r="DO105" i="13" s="1"/>
  <c r="BQ105" i="13"/>
  <c r="D72" i="12"/>
  <c r="D69" i="12"/>
  <c r="D70" i="12"/>
  <c r="D64" i="12"/>
  <c r="D65" i="12"/>
  <c r="D71" i="12"/>
  <c r="D68" i="12"/>
  <c r="D73" i="12"/>
  <c r="D63" i="12"/>
  <c r="D67" i="12"/>
  <c r="D66" i="12"/>
  <c r="D62" i="12"/>
  <c r="D74" i="12"/>
  <c r="G90" i="12"/>
  <c r="G98" i="12"/>
  <c r="G89" i="12"/>
  <c r="G92" i="12"/>
  <c r="G94" i="12"/>
  <c r="G97" i="12"/>
  <c r="G88" i="12"/>
  <c r="G93" i="12"/>
  <c r="G96" i="12"/>
  <c r="G99" i="12"/>
  <c r="G91" i="12"/>
  <c r="G95" i="12"/>
  <c r="G100" i="12"/>
  <c r="BS68" i="12"/>
  <c r="BQ68" i="12"/>
  <c r="BU68" i="12"/>
  <c r="BR68" i="12"/>
  <c r="DN68" i="12" s="1"/>
  <c r="CB68" i="12"/>
  <c r="BY68" i="12"/>
  <c r="BZ68" i="12"/>
  <c r="DQ68" i="12" s="1"/>
  <c r="BW68" i="12"/>
  <c r="DP68" i="12" s="1"/>
  <c r="BT68" i="12"/>
  <c r="CC68" i="12"/>
  <c r="CD68" i="12"/>
  <c r="BV68" i="12"/>
  <c r="DO68" i="12" s="1"/>
  <c r="CA68" i="12"/>
  <c r="BX68" i="12"/>
  <c r="BQ72" i="12"/>
  <c r="BV72" i="12"/>
  <c r="DO72" i="12" s="1"/>
  <c r="CC72" i="12"/>
  <c r="BS72" i="12"/>
  <c r="BR72" i="12"/>
  <c r="DN72" i="12" s="1"/>
  <c r="BY72" i="12"/>
  <c r="BU72" i="12"/>
  <c r="BT72" i="12"/>
  <c r="CB72" i="12"/>
  <c r="BX72" i="12"/>
  <c r="BW72" i="12"/>
  <c r="DP72" i="12" s="1"/>
  <c r="CD72" i="12"/>
  <c r="CA72" i="12"/>
  <c r="BZ72" i="12"/>
  <c r="DQ72" i="12" s="1"/>
  <c r="BY107" i="13"/>
  <c r="BR107" i="13"/>
  <c r="DN107" i="13" s="1"/>
  <c r="BS107" i="13"/>
  <c r="BU107" i="13"/>
  <c r="CA107" i="13"/>
  <c r="BW107" i="13"/>
  <c r="DP107" i="13" s="1"/>
  <c r="BT107" i="13"/>
  <c r="BZ107" i="13"/>
  <c r="DQ107" i="13" s="1"/>
  <c r="CB107" i="13"/>
  <c r="BX107" i="13"/>
  <c r="CD107" i="13"/>
  <c r="BQ107" i="13"/>
  <c r="BV107" i="13"/>
  <c r="DO107" i="13" s="1"/>
  <c r="CC107" i="13"/>
  <c r="BR36" i="14"/>
  <c r="DN36" i="14" s="1"/>
  <c r="BX36" i="14"/>
  <c r="BS36" i="14"/>
  <c r="BW36" i="14"/>
  <c r="DP36" i="14" s="1"/>
  <c r="CA36" i="14"/>
  <c r="BY36" i="14"/>
  <c r="BV36" i="14"/>
  <c r="DO36" i="14" s="1"/>
  <c r="CC36" i="14"/>
  <c r="CD36" i="14"/>
  <c r="BU36" i="14"/>
  <c r="BQ36" i="14"/>
  <c r="CB36" i="14"/>
  <c r="BZ36" i="14"/>
  <c r="DQ36" i="14" s="1"/>
  <c r="BT36" i="14"/>
  <c r="BR108" i="13"/>
  <c r="DN108" i="13" s="1"/>
  <c r="BV108" i="13"/>
  <c r="DO108" i="13" s="1"/>
  <c r="BZ108" i="13"/>
  <c r="DQ108" i="13" s="1"/>
  <c r="CD108" i="13"/>
  <c r="BS108" i="13"/>
  <c r="BX108" i="13"/>
  <c r="CA108" i="13"/>
  <c r="BW108" i="13"/>
  <c r="DP108" i="13" s="1"/>
  <c r="CB108" i="13"/>
  <c r="BQ108" i="13"/>
  <c r="BU108" i="13"/>
  <c r="BY108" i="13"/>
  <c r="BT108" i="13"/>
  <c r="CC108" i="13"/>
  <c r="AM93" i="12"/>
  <c r="AK93" i="12"/>
  <c r="AD93" i="12"/>
  <c r="AL93" i="12"/>
  <c r="AG93" i="12"/>
  <c r="DD93" i="12" s="1"/>
  <c r="AH93" i="12"/>
  <c r="AA93" i="12"/>
  <c r="AF93" i="12"/>
  <c r="DC93" i="12" s="1"/>
  <c r="AI93" i="12"/>
  <c r="AB93" i="12"/>
  <c r="DB93" i="12" s="1"/>
  <c r="AJ93" i="12"/>
  <c r="DE93" i="12" s="1"/>
  <c r="AN93" i="12"/>
  <c r="AC93" i="12"/>
  <c r="AE93" i="12"/>
  <c r="AJ84" i="14"/>
  <c r="DE84" i="14" s="1"/>
  <c r="AF84" i="14"/>
  <c r="DC84" i="14" s="1"/>
  <c r="AB84" i="14"/>
  <c r="DB84" i="14" s="1"/>
  <c r="AL84" i="14"/>
  <c r="AA84" i="14"/>
  <c r="AE84" i="14"/>
  <c r="AH84" i="14"/>
  <c r="AK84" i="14"/>
  <c r="AG84" i="14"/>
  <c r="DD84" i="14" s="1"/>
  <c r="AC84" i="14"/>
  <c r="AI84" i="14"/>
  <c r="AM84" i="14"/>
  <c r="AN84" i="14"/>
  <c r="AD84" i="14"/>
  <c r="AN79" i="14"/>
  <c r="AB79" i="14"/>
  <c r="DB79" i="14" s="1"/>
  <c r="AF79" i="14"/>
  <c r="DC79" i="14" s="1"/>
  <c r="AM79" i="14"/>
  <c r="AI79" i="14"/>
  <c r="AE79" i="14"/>
  <c r="AA79" i="14"/>
  <c r="AL79" i="14"/>
  <c r="AH79" i="14"/>
  <c r="AD79" i="14"/>
  <c r="AC79" i="14"/>
  <c r="AJ79" i="14"/>
  <c r="DE79" i="14" s="1"/>
  <c r="AG79" i="14"/>
  <c r="DD79" i="14" s="1"/>
  <c r="AK79" i="14"/>
  <c r="AN82" i="14"/>
  <c r="AA82" i="14"/>
  <c r="AF82" i="14"/>
  <c r="DC82" i="14" s="1"/>
  <c r="AJ82" i="14"/>
  <c r="DE82" i="14" s="1"/>
  <c r="AE82" i="14"/>
  <c r="AH82" i="14"/>
  <c r="AL82" i="14"/>
  <c r="AG82" i="14"/>
  <c r="DD82" i="14" s="1"/>
  <c r="AK82" i="14"/>
  <c r="AC82" i="14"/>
  <c r="AB82" i="14"/>
  <c r="DB82" i="14" s="1"/>
  <c r="AM82" i="14"/>
  <c r="AI82" i="14"/>
  <c r="AD82" i="14"/>
  <c r="AC85" i="14"/>
  <c r="AJ85" i="14"/>
  <c r="DE85" i="14" s="1"/>
  <c r="AM85" i="14"/>
  <c r="AB85" i="14"/>
  <c r="DB85" i="14" s="1"/>
  <c r="AE85" i="14"/>
  <c r="AI85" i="14"/>
  <c r="AL85" i="14"/>
  <c r="AA85" i="14"/>
  <c r="AD85" i="14"/>
  <c r="AH85" i="14"/>
  <c r="AK85" i="14"/>
  <c r="AF85" i="14"/>
  <c r="DC85" i="14" s="1"/>
  <c r="AN85" i="14"/>
  <c r="AG85" i="14"/>
  <c r="DD85" i="14" s="1"/>
  <c r="X9" i="7"/>
  <c r="Q5" i="7"/>
  <c r="Q12" i="7" s="1"/>
  <c r="V9" i="7"/>
  <c r="T9" i="7"/>
  <c r="G269" i="8"/>
  <c r="P274" i="8"/>
  <c r="P299" i="8" s="1"/>
  <c r="G277" i="8"/>
  <c r="H277" i="8"/>
  <c r="H269" i="8"/>
  <c r="G279" i="8"/>
  <c r="O270" i="8"/>
  <c r="H283" i="8"/>
  <c r="Q270" i="8"/>
  <c r="P284" i="8"/>
  <c r="P305" i="8" s="1"/>
  <c r="H273" i="8"/>
  <c r="H287" i="8"/>
  <c r="E274" i="8"/>
  <c r="P282" i="8"/>
  <c r="P304" i="8" s="1"/>
  <c r="E270" i="8"/>
  <c r="O274" i="8"/>
  <c r="E278" i="8"/>
  <c r="Q282" i="8"/>
  <c r="P270" i="8"/>
  <c r="P297" i="8" s="1"/>
  <c r="Q274" i="8"/>
  <c r="H279" i="8"/>
  <c r="E284" i="8"/>
  <c r="O268" i="8"/>
  <c r="H275" i="8"/>
  <c r="E280" i="8"/>
  <c r="H281" i="8"/>
  <c r="P268" i="8"/>
  <c r="P296" i="8" s="1"/>
  <c r="E272" i="8"/>
  <c r="P276" i="8"/>
  <c r="P300" i="8" s="1"/>
  <c r="P280" i="8"/>
  <c r="P303" i="8" s="1"/>
  <c r="Q284" i="8"/>
  <c r="Q268" i="8"/>
  <c r="G273" i="8"/>
  <c r="Q276" i="8"/>
  <c r="Q280" i="8"/>
  <c r="E286" i="8"/>
  <c r="Q278" i="8"/>
  <c r="E269" i="8"/>
  <c r="Q269" i="8"/>
  <c r="E271" i="8"/>
  <c r="Q271" i="8"/>
  <c r="E273" i="8"/>
  <c r="Q273" i="8"/>
  <c r="Q298" i="8" s="1"/>
  <c r="E275" i="8"/>
  <c r="Q275" i="8"/>
  <c r="E277" i="8"/>
  <c r="Q277" i="8"/>
  <c r="E279" i="8"/>
  <c r="Q279" i="8"/>
  <c r="E281" i="8"/>
  <c r="Q281" i="8"/>
  <c r="E283" i="8"/>
  <c r="Q283" i="8"/>
  <c r="E285" i="8"/>
  <c r="Q285" i="8"/>
  <c r="E287" i="8"/>
  <c r="Q287" i="8"/>
  <c r="E268" i="8"/>
  <c r="E276" i="8"/>
  <c r="Q286" i="8"/>
  <c r="R269" i="8"/>
  <c r="F271" i="8"/>
  <c r="R271" i="8"/>
  <c r="R273" i="8"/>
  <c r="F275" i="8"/>
  <c r="R275" i="8"/>
  <c r="R277" i="8"/>
  <c r="R279" i="8"/>
  <c r="F281" i="8"/>
  <c r="R281" i="8"/>
  <c r="F283" i="8"/>
  <c r="R283" i="8"/>
  <c r="F285" i="8"/>
  <c r="R285" i="8"/>
  <c r="F287" i="8"/>
  <c r="R287" i="8"/>
  <c r="G271" i="8"/>
  <c r="O272" i="8"/>
  <c r="O276" i="8"/>
  <c r="O278" i="8"/>
  <c r="O280" i="8"/>
  <c r="O282" i="8"/>
  <c r="O284" i="8"/>
  <c r="G285" i="8"/>
  <c r="O286" i="8"/>
  <c r="P272" i="8"/>
  <c r="P298" i="8" s="1"/>
  <c r="P278" i="8"/>
  <c r="P302" i="8" s="1"/>
  <c r="P286" i="8"/>
  <c r="P306" i="8" s="1"/>
  <c r="F268" i="8"/>
  <c r="F296" i="8" s="1"/>
  <c r="F270" i="8"/>
  <c r="F272" i="8"/>
  <c r="F298" i="8" s="1"/>
  <c r="R272" i="8"/>
  <c r="F274" i="8"/>
  <c r="F276" i="8"/>
  <c r="F300" i="8" s="1"/>
  <c r="F278" i="8"/>
  <c r="F302" i="8" s="1"/>
  <c r="F280" i="8"/>
  <c r="F282" i="8"/>
  <c r="F284" i="8"/>
  <c r="F286" i="8"/>
  <c r="F306" i="8" s="1"/>
  <c r="G268" i="8"/>
  <c r="O269" i="8"/>
  <c r="G270" i="8"/>
  <c r="O271" i="8"/>
  <c r="O297" i="8" s="1"/>
  <c r="G272" i="8"/>
  <c r="O273" i="8"/>
  <c r="G274" i="8"/>
  <c r="G299" i="8" s="1"/>
  <c r="O275" i="8"/>
  <c r="G276" i="8"/>
  <c r="O277" i="8"/>
  <c r="G278" i="8"/>
  <c r="G302" i="8" s="1"/>
  <c r="O279" i="8"/>
  <c r="G280" i="8"/>
  <c r="G303" i="8" s="1"/>
  <c r="O281" i="8"/>
  <c r="G282" i="8"/>
  <c r="G304" i="8" s="1"/>
  <c r="O283" i="8"/>
  <c r="G284" i="8"/>
  <c r="O285" i="8"/>
  <c r="G286" i="8"/>
  <c r="G306" i="8" s="1"/>
  <c r="O287" i="8"/>
  <c r="E282" i="8"/>
  <c r="G20" i="5"/>
  <c r="F20" i="5"/>
  <c r="G19" i="5"/>
  <c r="F19" i="5"/>
  <c r="G18" i="5"/>
  <c r="F18" i="5"/>
  <c r="G17" i="5"/>
  <c r="F17" i="5"/>
  <c r="S40" i="1"/>
  <c r="R40" i="1"/>
  <c r="Q40" i="1"/>
  <c r="P40" i="1"/>
  <c r="O40" i="1"/>
  <c r="N40" i="1"/>
  <c r="S39" i="1"/>
  <c r="R39" i="1"/>
  <c r="Q39" i="1"/>
  <c r="P39" i="1"/>
  <c r="O39" i="1"/>
  <c r="N39" i="1"/>
  <c r="S38" i="1"/>
  <c r="R38" i="1"/>
  <c r="Q38" i="1"/>
  <c r="P38" i="1"/>
  <c r="O38" i="1"/>
  <c r="N38" i="1"/>
  <c r="S37" i="1"/>
  <c r="R37" i="1"/>
  <c r="Q37" i="1"/>
  <c r="P37" i="1"/>
  <c r="O37" i="1"/>
  <c r="N37" i="1"/>
  <c r="S36" i="1"/>
  <c r="R36" i="1"/>
  <c r="Q36" i="1"/>
  <c r="P36" i="1"/>
  <c r="O36" i="1"/>
  <c r="N36" i="1"/>
  <c r="S35" i="1"/>
  <c r="R35" i="1"/>
  <c r="Q35" i="1"/>
  <c r="P35" i="1"/>
  <c r="O35" i="1"/>
  <c r="N35" i="1"/>
  <c r="S34" i="1"/>
  <c r="R34" i="1"/>
  <c r="Q34" i="1"/>
  <c r="P34" i="1"/>
  <c r="O34" i="1"/>
  <c r="N34" i="1"/>
  <c r="S33" i="1"/>
  <c r="R33" i="1"/>
  <c r="Q33" i="1"/>
  <c r="P33" i="1"/>
  <c r="O33" i="1"/>
  <c r="N33" i="1"/>
  <c r="S32" i="1"/>
  <c r="R32" i="1"/>
  <c r="Q32" i="1"/>
  <c r="P32" i="1"/>
  <c r="O32" i="1"/>
  <c r="N32" i="1"/>
  <c r="S31" i="1"/>
  <c r="R31" i="1"/>
  <c r="Q31" i="1"/>
  <c r="P31" i="1"/>
  <c r="O31" i="1"/>
  <c r="N31" i="1"/>
  <c r="S30" i="1"/>
  <c r="R30" i="1"/>
  <c r="Q30" i="1"/>
  <c r="P30" i="1"/>
  <c r="O30" i="1"/>
  <c r="N30" i="1"/>
  <c r="S29" i="1"/>
  <c r="R29" i="1"/>
  <c r="Q29" i="1"/>
  <c r="P29" i="1"/>
  <c r="O29" i="1"/>
  <c r="N29" i="1"/>
  <c r="S28" i="1"/>
  <c r="R28" i="1"/>
  <c r="Q28" i="1"/>
  <c r="P28" i="1"/>
  <c r="O28" i="1"/>
  <c r="N28" i="1"/>
  <c r="AQ92" i="4"/>
  <c r="AQ91" i="4"/>
  <c r="AQ90" i="4"/>
  <c r="AQ89" i="4"/>
  <c r="AQ88" i="4"/>
  <c r="AQ87" i="4"/>
  <c r="AQ86" i="4"/>
  <c r="AQ85" i="4"/>
  <c r="AQ84" i="4"/>
  <c r="AQ83" i="4"/>
  <c r="AQ82" i="4"/>
  <c r="AQ81" i="4"/>
  <c r="AQ74" i="4"/>
  <c r="AQ73" i="4"/>
  <c r="AQ72" i="4"/>
  <c r="AQ71" i="4"/>
  <c r="AQ70" i="4"/>
  <c r="AQ69" i="4"/>
  <c r="AQ68" i="4"/>
  <c r="AQ67" i="4"/>
  <c r="AQ66" i="4"/>
  <c r="AQ65" i="4"/>
  <c r="AQ64" i="4"/>
  <c r="AQ63" i="4"/>
  <c r="AP92" i="4"/>
  <c r="AP91" i="4"/>
  <c r="AP90" i="4"/>
  <c r="AP89" i="4"/>
  <c r="AP88" i="4"/>
  <c r="AP87" i="4"/>
  <c r="AP86" i="4"/>
  <c r="AP85" i="4"/>
  <c r="AP84" i="4"/>
  <c r="AP83" i="4"/>
  <c r="AP82" i="4"/>
  <c r="AP81" i="4"/>
  <c r="AP74" i="4"/>
  <c r="AP73" i="4"/>
  <c r="AP72" i="4"/>
  <c r="AP71" i="4"/>
  <c r="AP70" i="4"/>
  <c r="AP69" i="4"/>
  <c r="AP68" i="4"/>
  <c r="AP67" i="4"/>
  <c r="AP66" i="4"/>
  <c r="AP65" i="4"/>
  <c r="AP64" i="4"/>
  <c r="AP63" i="4"/>
  <c r="AO92" i="4"/>
  <c r="AO91" i="4"/>
  <c r="AO90" i="4"/>
  <c r="AO89" i="4"/>
  <c r="AO88" i="4"/>
  <c r="AO87" i="4"/>
  <c r="AO86" i="4"/>
  <c r="AO85" i="4"/>
  <c r="AO84" i="4"/>
  <c r="AO83" i="4"/>
  <c r="AO82" i="4"/>
  <c r="AO81" i="4"/>
  <c r="AO74" i="4"/>
  <c r="AO73" i="4"/>
  <c r="AO72" i="4"/>
  <c r="AO71" i="4"/>
  <c r="AO70" i="4"/>
  <c r="AO69" i="4"/>
  <c r="AO68" i="4"/>
  <c r="AO67" i="4"/>
  <c r="AO66" i="4"/>
  <c r="AO65" i="4"/>
  <c r="AO64" i="4"/>
  <c r="AO63" i="4"/>
  <c r="AG92" i="4"/>
  <c r="AG91" i="4"/>
  <c r="AG90" i="4"/>
  <c r="AG89" i="4"/>
  <c r="AG88" i="4"/>
  <c r="AG87" i="4"/>
  <c r="AG86" i="4"/>
  <c r="AG85" i="4"/>
  <c r="AG84" i="4"/>
  <c r="AG83" i="4"/>
  <c r="AG82" i="4"/>
  <c r="AG81" i="4"/>
  <c r="AG74" i="4"/>
  <c r="AG73" i="4"/>
  <c r="AG72" i="4"/>
  <c r="AG71" i="4"/>
  <c r="AG70" i="4"/>
  <c r="AG69" i="4"/>
  <c r="AG68" i="4"/>
  <c r="AG67" i="4"/>
  <c r="AG66" i="4"/>
  <c r="AG65" i="4"/>
  <c r="AG64" i="4"/>
  <c r="AG63" i="4"/>
  <c r="AF92" i="4"/>
  <c r="AF91" i="4"/>
  <c r="AF90" i="4"/>
  <c r="AF89" i="4"/>
  <c r="AF88" i="4"/>
  <c r="AF87" i="4"/>
  <c r="AF86" i="4"/>
  <c r="AF85" i="4"/>
  <c r="AF84" i="4"/>
  <c r="AF83" i="4"/>
  <c r="AF82" i="4"/>
  <c r="AF81" i="4"/>
  <c r="AF74" i="4"/>
  <c r="AF73" i="4"/>
  <c r="AF72" i="4"/>
  <c r="AF71" i="4"/>
  <c r="AF70" i="4"/>
  <c r="AF69" i="4"/>
  <c r="AF68" i="4"/>
  <c r="AF67" i="4"/>
  <c r="AF66" i="4"/>
  <c r="AF65" i="4"/>
  <c r="AF64" i="4"/>
  <c r="AF63" i="4"/>
  <c r="AE90" i="4"/>
  <c r="AE92" i="4"/>
  <c r="AE91" i="4"/>
  <c r="AE89" i="4"/>
  <c r="AE88" i="4"/>
  <c r="AE87" i="4"/>
  <c r="AE86" i="4"/>
  <c r="AE85" i="4"/>
  <c r="AE84" i="4"/>
  <c r="AE83" i="4"/>
  <c r="AE82" i="4"/>
  <c r="AE81" i="4"/>
  <c r="AE74" i="4"/>
  <c r="AE73" i="4"/>
  <c r="AE72" i="4"/>
  <c r="AE71" i="4"/>
  <c r="AE70" i="4"/>
  <c r="AE69" i="4"/>
  <c r="AE68" i="4"/>
  <c r="AE67" i="4"/>
  <c r="AE66" i="4"/>
  <c r="AE65" i="4"/>
  <c r="AE64" i="4"/>
  <c r="AE63" i="4"/>
  <c r="W92" i="4"/>
  <c r="V92" i="4"/>
  <c r="U92" i="4"/>
  <c r="T92" i="4"/>
  <c r="S92" i="4"/>
  <c r="R92" i="4"/>
  <c r="Q92" i="4"/>
  <c r="P92" i="4"/>
  <c r="O92" i="4"/>
  <c r="N92" i="4"/>
  <c r="M92" i="4"/>
  <c r="L92" i="4"/>
  <c r="K92" i="4"/>
  <c r="J92" i="4"/>
  <c r="I92" i="4"/>
  <c r="H92" i="4"/>
  <c r="G92" i="4"/>
  <c r="F92" i="4"/>
  <c r="W91" i="4"/>
  <c r="V91" i="4"/>
  <c r="U91" i="4"/>
  <c r="T91" i="4"/>
  <c r="S91" i="4"/>
  <c r="R91" i="4"/>
  <c r="Q91" i="4"/>
  <c r="P91" i="4"/>
  <c r="O91" i="4"/>
  <c r="N91" i="4"/>
  <c r="M91" i="4"/>
  <c r="L91" i="4"/>
  <c r="K91" i="4"/>
  <c r="J91" i="4"/>
  <c r="I91" i="4"/>
  <c r="H91" i="4"/>
  <c r="G91" i="4"/>
  <c r="F91" i="4"/>
  <c r="W90" i="4"/>
  <c r="V90" i="4"/>
  <c r="U90" i="4"/>
  <c r="T90" i="4"/>
  <c r="S90" i="4"/>
  <c r="R90" i="4"/>
  <c r="Q90" i="4"/>
  <c r="P90" i="4"/>
  <c r="O90" i="4"/>
  <c r="N90" i="4"/>
  <c r="M90" i="4"/>
  <c r="L90" i="4"/>
  <c r="K90" i="4"/>
  <c r="J90" i="4"/>
  <c r="I90" i="4"/>
  <c r="H90" i="4"/>
  <c r="G90" i="4"/>
  <c r="F90" i="4"/>
  <c r="W89" i="4"/>
  <c r="V89" i="4"/>
  <c r="U89" i="4"/>
  <c r="T89" i="4"/>
  <c r="S89" i="4"/>
  <c r="R89" i="4"/>
  <c r="Q89" i="4"/>
  <c r="P89" i="4"/>
  <c r="O89" i="4"/>
  <c r="N89" i="4"/>
  <c r="M89" i="4"/>
  <c r="L89" i="4"/>
  <c r="K89" i="4"/>
  <c r="J89" i="4"/>
  <c r="I89" i="4"/>
  <c r="H89" i="4"/>
  <c r="G89" i="4"/>
  <c r="F89" i="4"/>
  <c r="W88" i="4"/>
  <c r="V88" i="4"/>
  <c r="U88" i="4"/>
  <c r="T88" i="4"/>
  <c r="S88" i="4"/>
  <c r="R88" i="4"/>
  <c r="Q88" i="4"/>
  <c r="P88" i="4"/>
  <c r="O88" i="4"/>
  <c r="N88" i="4"/>
  <c r="M88" i="4"/>
  <c r="L88" i="4"/>
  <c r="K88" i="4"/>
  <c r="J88" i="4"/>
  <c r="I88" i="4"/>
  <c r="H88" i="4"/>
  <c r="G88" i="4"/>
  <c r="F88" i="4"/>
  <c r="W87" i="4"/>
  <c r="V87" i="4"/>
  <c r="U87" i="4"/>
  <c r="T87" i="4"/>
  <c r="S87" i="4"/>
  <c r="R87" i="4"/>
  <c r="Q87" i="4"/>
  <c r="P87" i="4"/>
  <c r="O87" i="4"/>
  <c r="N87" i="4"/>
  <c r="M87" i="4"/>
  <c r="L87" i="4"/>
  <c r="K87" i="4"/>
  <c r="J87" i="4"/>
  <c r="I87" i="4"/>
  <c r="H87" i="4"/>
  <c r="G87" i="4"/>
  <c r="F87" i="4"/>
  <c r="W86" i="4"/>
  <c r="V86" i="4"/>
  <c r="U86" i="4"/>
  <c r="T86" i="4"/>
  <c r="S86" i="4"/>
  <c r="R86" i="4"/>
  <c r="Q86" i="4"/>
  <c r="P86" i="4"/>
  <c r="O86" i="4"/>
  <c r="N86" i="4"/>
  <c r="M86" i="4"/>
  <c r="L86" i="4"/>
  <c r="K86" i="4"/>
  <c r="J86" i="4"/>
  <c r="I86" i="4"/>
  <c r="H86" i="4"/>
  <c r="G86" i="4"/>
  <c r="F86" i="4"/>
  <c r="W85" i="4"/>
  <c r="V85" i="4"/>
  <c r="U85" i="4"/>
  <c r="T85" i="4"/>
  <c r="S85" i="4"/>
  <c r="R85" i="4"/>
  <c r="Q85" i="4"/>
  <c r="P85" i="4"/>
  <c r="O85" i="4"/>
  <c r="N85" i="4"/>
  <c r="M85" i="4"/>
  <c r="L85" i="4"/>
  <c r="K85" i="4"/>
  <c r="J85" i="4"/>
  <c r="I85" i="4"/>
  <c r="H85" i="4"/>
  <c r="G85" i="4"/>
  <c r="F85" i="4"/>
  <c r="W84" i="4"/>
  <c r="V84" i="4"/>
  <c r="U84" i="4"/>
  <c r="T84" i="4"/>
  <c r="S84" i="4"/>
  <c r="R84" i="4"/>
  <c r="Q84" i="4"/>
  <c r="P84" i="4"/>
  <c r="O84" i="4"/>
  <c r="N84" i="4"/>
  <c r="M84" i="4"/>
  <c r="L84" i="4"/>
  <c r="K84" i="4"/>
  <c r="J84" i="4"/>
  <c r="I84" i="4"/>
  <c r="H84" i="4"/>
  <c r="G84" i="4"/>
  <c r="F84" i="4"/>
  <c r="W83" i="4"/>
  <c r="V83" i="4"/>
  <c r="U83" i="4"/>
  <c r="T83" i="4"/>
  <c r="S83" i="4"/>
  <c r="R83" i="4"/>
  <c r="Q83" i="4"/>
  <c r="P83" i="4"/>
  <c r="O83" i="4"/>
  <c r="N83" i="4"/>
  <c r="M83" i="4"/>
  <c r="L83" i="4"/>
  <c r="K83" i="4"/>
  <c r="J83" i="4"/>
  <c r="I83" i="4"/>
  <c r="H83" i="4"/>
  <c r="G83" i="4"/>
  <c r="F83" i="4"/>
  <c r="W82" i="4"/>
  <c r="V82" i="4"/>
  <c r="U82" i="4"/>
  <c r="T82" i="4"/>
  <c r="S82" i="4"/>
  <c r="R82" i="4"/>
  <c r="Q82" i="4"/>
  <c r="P82" i="4"/>
  <c r="O82" i="4"/>
  <c r="N82" i="4"/>
  <c r="M82" i="4"/>
  <c r="L82" i="4"/>
  <c r="K82" i="4"/>
  <c r="J82" i="4"/>
  <c r="I82" i="4"/>
  <c r="H82" i="4"/>
  <c r="G82" i="4"/>
  <c r="F82" i="4"/>
  <c r="W81" i="4"/>
  <c r="V81" i="4"/>
  <c r="U81" i="4"/>
  <c r="T81" i="4"/>
  <c r="S81" i="4"/>
  <c r="R81" i="4"/>
  <c r="Q81" i="4"/>
  <c r="P81" i="4"/>
  <c r="O81" i="4"/>
  <c r="N81" i="4"/>
  <c r="M81" i="4"/>
  <c r="L81" i="4"/>
  <c r="K81" i="4"/>
  <c r="J81" i="4"/>
  <c r="I81" i="4"/>
  <c r="H81" i="4"/>
  <c r="G81" i="4"/>
  <c r="F81" i="4"/>
  <c r="W74" i="4"/>
  <c r="V74" i="4"/>
  <c r="U74" i="4"/>
  <c r="T74" i="4"/>
  <c r="S74" i="4"/>
  <c r="R74" i="4"/>
  <c r="Q74" i="4"/>
  <c r="P74" i="4"/>
  <c r="O74" i="4"/>
  <c r="N74" i="4"/>
  <c r="M74" i="4"/>
  <c r="L74" i="4"/>
  <c r="K74" i="4"/>
  <c r="J74" i="4"/>
  <c r="I74" i="4"/>
  <c r="H74" i="4"/>
  <c r="G74" i="4"/>
  <c r="F74" i="4"/>
  <c r="W73" i="4"/>
  <c r="V73" i="4"/>
  <c r="U73" i="4"/>
  <c r="T73" i="4"/>
  <c r="S73" i="4"/>
  <c r="R73" i="4"/>
  <c r="Q73" i="4"/>
  <c r="P73" i="4"/>
  <c r="O73" i="4"/>
  <c r="N73" i="4"/>
  <c r="M73" i="4"/>
  <c r="L73" i="4"/>
  <c r="K73" i="4"/>
  <c r="J73" i="4"/>
  <c r="I73" i="4"/>
  <c r="H73" i="4"/>
  <c r="G73" i="4"/>
  <c r="F73" i="4"/>
  <c r="W72" i="4"/>
  <c r="V72" i="4"/>
  <c r="U72" i="4"/>
  <c r="T72" i="4"/>
  <c r="S72" i="4"/>
  <c r="R72" i="4"/>
  <c r="Q72" i="4"/>
  <c r="P72" i="4"/>
  <c r="O72" i="4"/>
  <c r="N72" i="4"/>
  <c r="M72" i="4"/>
  <c r="L72" i="4"/>
  <c r="K72" i="4"/>
  <c r="J72" i="4"/>
  <c r="I72" i="4"/>
  <c r="H72" i="4"/>
  <c r="G72" i="4"/>
  <c r="F72" i="4"/>
  <c r="W71" i="4"/>
  <c r="V71" i="4"/>
  <c r="U71" i="4"/>
  <c r="T71" i="4"/>
  <c r="S71" i="4"/>
  <c r="R71" i="4"/>
  <c r="Q71" i="4"/>
  <c r="P71" i="4"/>
  <c r="O71" i="4"/>
  <c r="N71" i="4"/>
  <c r="M71" i="4"/>
  <c r="L71" i="4"/>
  <c r="K71" i="4"/>
  <c r="J71" i="4"/>
  <c r="I71" i="4"/>
  <c r="H71" i="4"/>
  <c r="G71" i="4"/>
  <c r="F71" i="4"/>
  <c r="W70" i="4"/>
  <c r="V70" i="4"/>
  <c r="U70" i="4"/>
  <c r="T70" i="4"/>
  <c r="S70" i="4"/>
  <c r="R70" i="4"/>
  <c r="Q70" i="4"/>
  <c r="P70" i="4"/>
  <c r="O70" i="4"/>
  <c r="N70" i="4"/>
  <c r="M70" i="4"/>
  <c r="L70" i="4"/>
  <c r="K70" i="4"/>
  <c r="J70" i="4"/>
  <c r="I70" i="4"/>
  <c r="H70" i="4"/>
  <c r="G70" i="4"/>
  <c r="F70" i="4"/>
  <c r="W69" i="4"/>
  <c r="V69" i="4"/>
  <c r="U69" i="4"/>
  <c r="T69" i="4"/>
  <c r="S69" i="4"/>
  <c r="R69" i="4"/>
  <c r="Q69" i="4"/>
  <c r="P69" i="4"/>
  <c r="O69" i="4"/>
  <c r="N69" i="4"/>
  <c r="M69" i="4"/>
  <c r="L69" i="4"/>
  <c r="K69" i="4"/>
  <c r="J69" i="4"/>
  <c r="I69" i="4"/>
  <c r="H69" i="4"/>
  <c r="G69" i="4"/>
  <c r="F69" i="4"/>
  <c r="W68" i="4"/>
  <c r="V68" i="4"/>
  <c r="U68" i="4"/>
  <c r="T68" i="4"/>
  <c r="S68" i="4"/>
  <c r="R68" i="4"/>
  <c r="Q68" i="4"/>
  <c r="P68" i="4"/>
  <c r="O68" i="4"/>
  <c r="N68" i="4"/>
  <c r="M68" i="4"/>
  <c r="L68" i="4"/>
  <c r="K68" i="4"/>
  <c r="J68" i="4"/>
  <c r="I68" i="4"/>
  <c r="H68" i="4"/>
  <c r="G68" i="4"/>
  <c r="F68" i="4"/>
  <c r="W67" i="4"/>
  <c r="V67" i="4"/>
  <c r="W66" i="4"/>
  <c r="V66" i="4"/>
  <c r="W65" i="4"/>
  <c r="V65" i="4"/>
  <c r="W64" i="4"/>
  <c r="V64" i="4"/>
  <c r="W63" i="4"/>
  <c r="V63" i="4"/>
  <c r="Q67" i="4"/>
  <c r="P67" i="4"/>
  <c r="Q66" i="4"/>
  <c r="P66" i="4"/>
  <c r="Q65" i="4"/>
  <c r="P65" i="4"/>
  <c r="Q64" i="4"/>
  <c r="P64" i="4"/>
  <c r="Q63" i="4"/>
  <c r="P63" i="4"/>
  <c r="K67" i="4"/>
  <c r="J67" i="4"/>
  <c r="K66" i="4"/>
  <c r="J66" i="4"/>
  <c r="K65" i="4"/>
  <c r="J65" i="4"/>
  <c r="K64" i="4"/>
  <c r="J64" i="4"/>
  <c r="K63" i="4"/>
  <c r="J63" i="4"/>
  <c r="U67" i="4"/>
  <c r="T67" i="4"/>
  <c r="S67" i="4"/>
  <c r="R67" i="4"/>
  <c r="O67" i="4"/>
  <c r="N67" i="4"/>
  <c r="M67" i="4"/>
  <c r="L67" i="4"/>
  <c r="I67" i="4"/>
  <c r="H67" i="4"/>
  <c r="G67" i="4"/>
  <c r="F67" i="4"/>
  <c r="U66" i="4"/>
  <c r="T66" i="4"/>
  <c r="S66" i="4"/>
  <c r="R66" i="4"/>
  <c r="L66" i="4"/>
  <c r="O66" i="4"/>
  <c r="N66" i="4"/>
  <c r="M66" i="4"/>
  <c r="F66" i="4"/>
  <c r="I66" i="4"/>
  <c r="H66" i="4"/>
  <c r="G66" i="4"/>
  <c r="U63" i="4"/>
  <c r="U64" i="4"/>
  <c r="U65" i="4"/>
  <c r="O65" i="4"/>
  <c r="O64" i="4"/>
  <c r="O63" i="4"/>
  <c r="R65" i="4"/>
  <c r="N65" i="4"/>
  <c r="M65" i="4"/>
  <c r="S64" i="4"/>
  <c r="R64" i="4"/>
  <c r="L64" i="4"/>
  <c r="M64" i="4"/>
  <c r="AE26" i="4"/>
  <c r="AD26" i="4"/>
  <c r="AC26" i="4"/>
  <c r="AB26" i="4"/>
  <c r="AA26" i="4"/>
  <c r="Z26" i="4"/>
  <c r="Y26" i="4"/>
  <c r="X26" i="4"/>
  <c r="W26" i="4"/>
  <c r="V26" i="4"/>
  <c r="U26" i="4"/>
  <c r="T26" i="4"/>
  <c r="S26" i="4"/>
  <c r="R26" i="4"/>
  <c r="Q26" i="4"/>
  <c r="P26" i="4"/>
  <c r="AE25" i="4"/>
  <c r="AD25" i="4"/>
  <c r="AC25" i="4"/>
  <c r="AB25" i="4"/>
  <c r="AA25" i="4"/>
  <c r="Z25" i="4"/>
  <c r="Y25" i="4"/>
  <c r="X25" i="4"/>
  <c r="W25" i="4"/>
  <c r="V25" i="4"/>
  <c r="U25" i="4"/>
  <c r="T25" i="4"/>
  <c r="S25" i="4"/>
  <c r="R25" i="4"/>
  <c r="Q25" i="4"/>
  <c r="P25" i="4"/>
  <c r="AE24" i="4"/>
  <c r="AD24" i="4"/>
  <c r="AC24" i="4"/>
  <c r="AB24" i="4"/>
  <c r="AA24" i="4"/>
  <c r="Z24" i="4"/>
  <c r="Y24" i="4"/>
  <c r="X24" i="4"/>
  <c r="W24" i="4"/>
  <c r="V24" i="4"/>
  <c r="U24" i="4"/>
  <c r="T24" i="4"/>
  <c r="S24" i="4"/>
  <c r="R24" i="4"/>
  <c r="T63" i="4" s="1"/>
  <c r="Q24" i="4"/>
  <c r="S65" i="4" s="1"/>
  <c r="P24" i="4"/>
  <c r="R63" i="4" s="1"/>
  <c r="AE23" i="4"/>
  <c r="AD23" i="4"/>
  <c r="AC23" i="4"/>
  <c r="AB23" i="4"/>
  <c r="AA23" i="4"/>
  <c r="Z23" i="4"/>
  <c r="Y23" i="4"/>
  <c r="X23" i="4"/>
  <c r="W23" i="4"/>
  <c r="V23" i="4"/>
  <c r="U23" i="4"/>
  <c r="T23" i="4"/>
  <c r="S23" i="4"/>
  <c r="R23" i="4"/>
  <c r="N63" i="4" s="1"/>
  <c r="Q23" i="4"/>
  <c r="P23" i="4"/>
  <c r="L65" i="4" s="1"/>
  <c r="AE22" i="4"/>
  <c r="AD22" i="4"/>
  <c r="AC22" i="4"/>
  <c r="AB22" i="4"/>
  <c r="AA22" i="4"/>
  <c r="Z22" i="4"/>
  <c r="Y22" i="4"/>
  <c r="X22" i="4"/>
  <c r="W22" i="4"/>
  <c r="V22" i="4"/>
  <c r="U22" i="4"/>
  <c r="T22" i="4"/>
  <c r="S22" i="4"/>
  <c r="I65" i="4" s="1"/>
  <c r="R22" i="4"/>
  <c r="H63" i="4" s="1"/>
  <c r="Q22" i="4"/>
  <c r="G63" i="4" s="1"/>
  <c r="P22" i="4"/>
  <c r="F63" i="4" s="1"/>
  <c r="S63" i="4"/>
  <c r="M63" i="4"/>
  <c r="L63" i="4"/>
  <c r="AN108" i="2"/>
  <c r="AM108" i="2"/>
  <c r="AL108" i="2"/>
  <c r="AK108" i="2"/>
  <c r="V101" i="8" l="1"/>
  <c r="DA101" i="8" s="1"/>
  <c r="V97" i="8"/>
  <c r="DA97" i="8" s="1"/>
  <c r="P103" i="8"/>
  <c r="Z99" i="8"/>
  <c r="I106" i="8"/>
  <c r="Q13" i="7"/>
  <c r="H29" i="15"/>
  <c r="I29" i="15" s="1"/>
  <c r="CB96" i="12"/>
  <c r="BU96" i="12"/>
  <c r="BT96" i="12"/>
  <c r="CD96" i="12"/>
  <c r="BS96" i="12"/>
  <c r="CC96" i="12"/>
  <c r="BR96" i="12"/>
  <c r="DN96" i="12" s="1"/>
  <c r="CA96" i="12"/>
  <c r="BQ96" i="12"/>
  <c r="BZ96" i="12"/>
  <c r="DQ96" i="12" s="1"/>
  <c r="BY96" i="12"/>
  <c r="BX96" i="12"/>
  <c r="BW96" i="12"/>
  <c r="DP96" i="12" s="1"/>
  <c r="BV96" i="12"/>
  <c r="DO96" i="12" s="1"/>
  <c r="BX90" i="12"/>
  <c r="CB90" i="12"/>
  <c r="BT90" i="12"/>
  <c r="BQ90" i="12"/>
  <c r="BY90" i="12"/>
  <c r="BV90" i="12"/>
  <c r="DO90" i="12" s="1"/>
  <c r="BR90" i="12"/>
  <c r="DN90" i="12" s="1"/>
  <c r="BU90" i="12"/>
  <c r="CD90" i="12"/>
  <c r="BZ90" i="12"/>
  <c r="DQ90" i="12" s="1"/>
  <c r="BS90" i="12"/>
  <c r="CC90" i="12"/>
  <c r="CA90" i="12"/>
  <c r="BW90" i="12"/>
  <c r="DP90" i="12" s="1"/>
  <c r="BU153" i="13"/>
  <c r="BR153" i="13"/>
  <c r="DN153" i="13" s="1"/>
  <c r="CC153" i="13"/>
  <c r="BZ153" i="13"/>
  <c r="DQ153" i="13" s="1"/>
  <c r="BV153" i="13"/>
  <c r="DO153" i="13" s="1"/>
  <c r="CD153" i="13"/>
  <c r="BS153" i="13"/>
  <c r="BW153" i="13"/>
  <c r="DP153" i="13" s="1"/>
  <c r="CA153" i="13"/>
  <c r="BX153" i="13"/>
  <c r="CB153" i="13"/>
  <c r="BY153" i="13"/>
  <c r="BT153" i="13"/>
  <c r="BQ153" i="13"/>
  <c r="BQ152" i="13"/>
  <c r="BU152" i="13"/>
  <c r="BY152" i="13"/>
  <c r="CC152" i="13"/>
  <c r="BR152" i="13"/>
  <c r="DN152" i="13" s="1"/>
  <c r="BV152" i="13"/>
  <c r="DO152" i="13" s="1"/>
  <c r="BZ152" i="13"/>
  <c r="DQ152" i="13" s="1"/>
  <c r="CD152" i="13"/>
  <c r="BS152" i="13"/>
  <c r="CA152" i="13"/>
  <c r="BX152" i="13"/>
  <c r="CB152" i="13"/>
  <c r="BW152" i="13"/>
  <c r="DP152" i="13" s="1"/>
  <c r="BT152" i="13"/>
  <c r="CA155" i="13"/>
  <c r="BY155" i="13"/>
  <c r="BS155" i="13"/>
  <c r="CC155" i="13"/>
  <c r="CD155" i="13"/>
  <c r="BU155" i="13"/>
  <c r="BV155" i="13"/>
  <c r="DO155" i="13" s="1"/>
  <c r="BT155" i="13"/>
  <c r="BW155" i="13"/>
  <c r="DP155" i="13" s="1"/>
  <c r="CB155" i="13"/>
  <c r="BX155" i="13"/>
  <c r="BQ155" i="13"/>
  <c r="BR155" i="13"/>
  <c r="DN155" i="13" s="1"/>
  <c r="BZ155" i="13"/>
  <c r="DQ155" i="13" s="1"/>
  <c r="BR158" i="13"/>
  <c r="DN158" i="13" s="1"/>
  <c r="CD158" i="13"/>
  <c r="BT158" i="13"/>
  <c r="BU158" i="13"/>
  <c r="BQ158" i="13"/>
  <c r="CC158" i="13"/>
  <c r="BZ158" i="13"/>
  <c r="DQ158" i="13" s="1"/>
  <c r="BV158" i="13"/>
  <c r="DO158" i="13" s="1"/>
  <c r="BW158" i="13"/>
  <c r="DP158" i="13" s="1"/>
  <c r="BS158" i="13"/>
  <c r="BY158" i="13"/>
  <c r="CA158" i="13"/>
  <c r="CB158" i="13"/>
  <c r="BX158" i="13"/>
  <c r="AE68" i="12"/>
  <c r="AL68" i="12"/>
  <c r="AI68" i="12"/>
  <c r="AF68" i="12"/>
  <c r="DC68" i="12" s="1"/>
  <c r="AA68" i="12"/>
  <c r="AG68" i="12"/>
  <c r="DD68" i="12" s="1"/>
  <c r="AK68" i="12"/>
  <c r="AC68" i="12"/>
  <c r="AD68" i="12"/>
  <c r="AN68" i="12"/>
  <c r="AJ68" i="12"/>
  <c r="DE68" i="12" s="1"/>
  <c r="AB68" i="12"/>
  <c r="DB68" i="12" s="1"/>
  <c r="AH68" i="12"/>
  <c r="AM68" i="12"/>
  <c r="AJ113" i="13"/>
  <c r="DE113" i="13" s="1"/>
  <c r="AN113" i="13"/>
  <c r="AC113" i="13"/>
  <c r="AA113" i="13"/>
  <c r="AK113" i="13"/>
  <c r="AI113" i="13"/>
  <c r="AD113" i="13"/>
  <c r="AG113" i="13"/>
  <c r="DD113" i="13" s="1"/>
  <c r="AL113" i="13"/>
  <c r="AH113" i="13"/>
  <c r="AE113" i="13"/>
  <c r="AB113" i="13"/>
  <c r="DB113" i="13" s="1"/>
  <c r="AF113" i="13"/>
  <c r="DC113" i="13" s="1"/>
  <c r="AM113" i="13"/>
  <c r="AM40" i="14"/>
  <c r="AF40" i="14"/>
  <c r="DC40" i="14" s="1"/>
  <c r="AN40" i="14"/>
  <c r="AG40" i="14"/>
  <c r="DD40" i="14" s="1"/>
  <c r="AA40" i="14"/>
  <c r="AE40" i="14"/>
  <c r="AI40" i="14"/>
  <c r="AD40" i="14"/>
  <c r="AJ40" i="14"/>
  <c r="DE40" i="14" s="1"/>
  <c r="AC40" i="14"/>
  <c r="AL40" i="14"/>
  <c r="AB40" i="14"/>
  <c r="DB40" i="14" s="1"/>
  <c r="AK40" i="14"/>
  <c r="AH40" i="14"/>
  <c r="AM38" i="14"/>
  <c r="AG38" i="14"/>
  <c r="DD38" i="14" s="1"/>
  <c r="AC38" i="14"/>
  <c r="AA38" i="14"/>
  <c r="AH38" i="14"/>
  <c r="AJ38" i="14"/>
  <c r="DE38" i="14" s="1"/>
  <c r="AE38" i="14"/>
  <c r="AL38" i="14"/>
  <c r="AN38" i="14"/>
  <c r="AK38" i="14"/>
  <c r="AI38" i="14"/>
  <c r="AF38" i="14"/>
  <c r="DC38" i="14" s="1"/>
  <c r="AB38" i="14"/>
  <c r="DB38" i="14" s="1"/>
  <c r="AD38" i="14"/>
  <c r="AF103" i="13"/>
  <c r="DC103" i="13" s="1"/>
  <c r="AN103" i="13"/>
  <c r="AK103" i="13"/>
  <c r="AG103" i="13"/>
  <c r="DD103" i="13" s="1"/>
  <c r="AE103" i="13"/>
  <c r="AH103" i="13"/>
  <c r="AM103" i="13"/>
  <c r="AA103" i="13"/>
  <c r="AI103" i="13"/>
  <c r="AL103" i="13"/>
  <c r="AJ103" i="13"/>
  <c r="DE103" i="13" s="1"/>
  <c r="AD103" i="13"/>
  <c r="AB103" i="13"/>
  <c r="DB103" i="13" s="1"/>
  <c r="AC103" i="13"/>
  <c r="AR71" i="12"/>
  <c r="AQ71" i="12"/>
  <c r="AU71" i="12"/>
  <c r="DH71" i="12" s="1"/>
  <c r="AY71" i="12"/>
  <c r="AW71" i="12"/>
  <c r="AO71" i="12"/>
  <c r="AX71" i="12"/>
  <c r="DI71" i="12" s="1"/>
  <c r="AV71" i="12"/>
  <c r="AP71" i="12"/>
  <c r="DF71" i="12" s="1"/>
  <c r="BB71" i="12"/>
  <c r="AT71" i="12"/>
  <c r="DG71" i="12" s="1"/>
  <c r="BA71" i="12"/>
  <c r="AS71" i="12"/>
  <c r="AZ71" i="12"/>
  <c r="AO110" i="13"/>
  <c r="AW110" i="13"/>
  <c r="AS110" i="13"/>
  <c r="AP110" i="13"/>
  <c r="DF110" i="13" s="1"/>
  <c r="BA110" i="13"/>
  <c r="AX110" i="13"/>
  <c r="DI110" i="13" s="1"/>
  <c r="AT110" i="13"/>
  <c r="DG110" i="13" s="1"/>
  <c r="AY110" i="13"/>
  <c r="BB110" i="13"/>
  <c r="AZ110" i="13"/>
  <c r="AV110" i="13"/>
  <c r="AQ110" i="13"/>
  <c r="AR110" i="13"/>
  <c r="AU110" i="13"/>
  <c r="DH110" i="13" s="1"/>
  <c r="AY112" i="13"/>
  <c r="AO112" i="13"/>
  <c r="AR112" i="13"/>
  <c r="BA112" i="13"/>
  <c r="AS112" i="13"/>
  <c r="BB112" i="13"/>
  <c r="AP112" i="13"/>
  <c r="DF112" i="13" s="1"/>
  <c r="AX112" i="13"/>
  <c r="DI112" i="13" s="1"/>
  <c r="AQ112" i="13"/>
  <c r="AV112" i="13"/>
  <c r="AU112" i="13"/>
  <c r="DH112" i="13" s="1"/>
  <c r="AZ112" i="13"/>
  <c r="AT112" i="13"/>
  <c r="DG112" i="13" s="1"/>
  <c r="AW112" i="13"/>
  <c r="AX41" i="14"/>
  <c r="DI41" i="14" s="1"/>
  <c r="BB41" i="14"/>
  <c r="BA41" i="14"/>
  <c r="AU41" i="14"/>
  <c r="DH41" i="14" s="1"/>
  <c r="AP41" i="14"/>
  <c r="DF41" i="14" s="1"/>
  <c r="AR41" i="14"/>
  <c r="AQ41" i="14"/>
  <c r="AZ41" i="14"/>
  <c r="AY41" i="14"/>
  <c r="AV41" i="14"/>
  <c r="AO41" i="14"/>
  <c r="AW41" i="14"/>
  <c r="AS41" i="14"/>
  <c r="AT41" i="14"/>
  <c r="DG41" i="14" s="1"/>
  <c r="BA95" i="12"/>
  <c r="AS95" i="12"/>
  <c r="AZ95" i="12"/>
  <c r="AR95" i="12"/>
  <c r="AY95" i="12"/>
  <c r="AQ95" i="12"/>
  <c r="AX95" i="12"/>
  <c r="DI95" i="12" s="1"/>
  <c r="AP95" i="12"/>
  <c r="DF95" i="12" s="1"/>
  <c r="AW95" i="12"/>
  <c r="AO95" i="12"/>
  <c r="AV95" i="12"/>
  <c r="AU95" i="12"/>
  <c r="DH95" i="12" s="1"/>
  <c r="BB95" i="12"/>
  <c r="AT95" i="12"/>
  <c r="DG95" i="12" s="1"/>
  <c r="BB88" i="12"/>
  <c r="AU88" i="12"/>
  <c r="DH88" i="12" s="1"/>
  <c r="AV88" i="12"/>
  <c r="AR88" i="12"/>
  <c r="AZ88" i="12"/>
  <c r="AS88" i="12"/>
  <c r="BA88" i="12"/>
  <c r="AT88" i="12"/>
  <c r="DG88" i="12" s="1"/>
  <c r="AO88" i="12"/>
  <c r="AP88" i="12"/>
  <c r="DF88" i="12" s="1"/>
  <c r="AW88" i="12"/>
  <c r="AX88" i="12"/>
  <c r="DI88" i="12" s="1"/>
  <c r="AQ88" i="12"/>
  <c r="AY88" i="12"/>
  <c r="AT152" i="13"/>
  <c r="DG152" i="13" s="1"/>
  <c r="AO152" i="13"/>
  <c r="BB152" i="13"/>
  <c r="AQ152" i="13"/>
  <c r="AU152" i="13"/>
  <c r="DH152" i="13" s="1"/>
  <c r="AY152" i="13"/>
  <c r="AV152" i="13"/>
  <c r="AR152" i="13"/>
  <c r="AW152" i="13"/>
  <c r="AZ152" i="13"/>
  <c r="AP152" i="13"/>
  <c r="DF152" i="13" s="1"/>
  <c r="AS152" i="13"/>
  <c r="BA152" i="13"/>
  <c r="AX152" i="13"/>
  <c r="DI152" i="13" s="1"/>
  <c r="AO84" i="14"/>
  <c r="AS84" i="14"/>
  <c r="AY84" i="14"/>
  <c r="AZ84" i="14"/>
  <c r="AV84" i="14"/>
  <c r="AR84" i="14"/>
  <c r="AU84" i="14"/>
  <c r="DH84" i="14" s="1"/>
  <c r="AX84" i="14"/>
  <c r="DI84" i="14" s="1"/>
  <c r="AQ84" i="14"/>
  <c r="AP84" i="14"/>
  <c r="DF84" i="14" s="1"/>
  <c r="BB84" i="14"/>
  <c r="AW84" i="14"/>
  <c r="BA84" i="14"/>
  <c r="AT84" i="14"/>
  <c r="DG84" i="14" s="1"/>
  <c r="AW150" i="13"/>
  <c r="AU150" i="13"/>
  <c r="DH150" i="13" s="1"/>
  <c r="AP150" i="13"/>
  <c r="DF150" i="13" s="1"/>
  <c r="AV150" i="13"/>
  <c r="AX150" i="13"/>
  <c r="DI150" i="13" s="1"/>
  <c r="AY150" i="13"/>
  <c r="AR150" i="13"/>
  <c r="BA150" i="13"/>
  <c r="AZ150" i="13"/>
  <c r="BB150" i="13"/>
  <c r="AQ150" i="13"/>
  <c r="AO150" i="13"/>
  <c r="AS150" i="13"/>
  <c r="AT150" i="13"/>
  <c r="DG150" i="13" s="1"/>
  <c r="Q62" i="12"/>
  <c r="W62" i="12"/>
  <c r="X62" i="12"/>
  <c r="N62" i="12"/>
  <c r="Z62" i="12"/>
  <c r="P62" i="12"/>
  <c r="R62" i="12"/>
  <c r="O62" i="12"/>
  <c r="U62" i="12"/>
  <c r="M62" i="12"/>
  <c r="Y62" i="12"/>
  <c r="T62" i="12"/>
  <c r="V62" i="12"/>
  <c r="S62" i="12"/>
  <c r="V63" i="12"/>
  <c r="Y63" i="12"/>
  <c r="R63" i="12"/>
  <c r="U63" i="12"/>
  <c r="O63" i="12"/>
  <c r="P63" i="12"/>
  <c r="Q63" i="12"/>
  <c r="N63" i="12"/>
  <c r="X63" i="12"/>
  <c r="M63" i="12"/>
  <c r="W63" i="12"/>
  <c r="S63" i="12"/>
  <c r="Z63" i="12"/>
  <c r="T63" i="12"/>
  <c r="X105" i="13"/>
  <c r="N105" i="13"/>
  <c r="Q105" i="13"/>
  <c r="Y105" i="13"/>
  <c r="M105" i="13"/>
  <c r="R105" i="13"/>
  <c r="U105" i="13"/>
  <c r="Z105" i="13"/>
  <c r="W105" i="13"/>
  <c r="T105" i="13"/>
  <c r="O105" i="13"/>
  <c r="P105" i="13"/>
  <c r="S105" i="13"/>
  <c r="V105" i="13"/>
  <c r="S42" i="14"/>
  <c r="Z42" i="14"/>
  <c r="O42" i="14"/>
  <c r="X42" i="14"/>
  <c r="N42" i="14"/>
  <c r="Q42" i="14"/>
  <c r="M42" i="14"/>
  <c r="R42" i="14"/>
  <c r="P42" i="14"/>
  <c r="Y42" i="14"/>
  <c r="T42" i="14"/>
  <c r="U42" i="14"/>
  <c r="V42" i="14"/>
  <c r="W42" i="14"/>
  <c r="N107" i="13"/>
  <c r="R107" i="13"/>
  <c r="V107" i="13"/>
  <c r="Z107" i="13"/>
  <c r="O107" i="13"/>
  <c r="S107" i="13"/>
  <c r="W107" i="13"/>
  <c r="T107" i="13"/>
  <c r="X107" i="13"/>
  <c r="M107" i="13"/>
  <c r="Q107" i="13"/>
  <c r="P107" i="13"/>
  <c r="Y107" i="13"/>
  <c r="U107" i="13"/>
  <c r="Z106" i="13"/>
  <c r="W106" i="13"/>
  <c r="S106" i="13"/>
  <c r="Q106" i="13"/>
  <c r="T106" i="13"/>
  <c r="Y106" i="13"/>
  <c r="M106" i="13"/>
  <c r="U106" i="13"/>
  <c r="X106" i="13"/>
  <c r="V106" i="13"/>
  <c r="P106" i="13"/>
  <c r="R106" i="13"/>
  <c r="N106" i="13"/>
  <c r="O106" i="13"/>
  <c r="BP93" i="12"/>
  <c r="BO93" i="12"/>
  <c r="BF93" i="12"/>
  <c r="BN93" i="12"/>
  <c r="BI93" i="12"/>
  <c r="DL93" i="12" s="1"/>
  <c r="BC93" i="12"/>
  <c r="BD93" i="12"/>
  <c r="DJ93" i="12" s="1"/>
  <c r="BE93" i="12"/>
  <c r="BJ93" i="12"/>
  <c r="BK93" i="12"/>
  <c r="BL93" i="12"/>
  <c r="DM93" i="12" s="1"/>
  <c r="BM93" i="12"/>
  <c r="BH93" i="12"/>
  <c r="DK93" i="12" s="1"/>
  <c r="BG93" i="12"/>
  <c r="BM147" i="13"/>
  <c r="BI147" i="13"/>
  <c r="DL147" i="13" s="1"/>
  <c r="BF147" i="13"/>
  <c r="BN147" i="13"/>
  <c r="BC147" i="13"/>
  <c r="BG147" i="13"/>
  <c r="BK147" i="13"/>
  <c r="BO147" i="13"/>
  <c r="BL147" i="13"/>
  <c r="DM147" i="13" s="1"/>
  <c r="BP147" i="13"/>
  <c r="BH147" i="13"/>
  <c r="DK147" i="13" s="1"/>
  <c r="BJ147" i="13"/>
  <c r="BD147" i="13"/>
  <c r="DJ147" i="13" s="1"/>
  <c r="BE147" i="13"/>
  <c r="BK146" i="13"/>
  <c r="BO146" i="13"/>
  <c r="BC146" i="13"/>
  <c r="BI146" i="13"/>
  <c r="DL146" i="13" s="1"/>
  <c r="BL146" i="13"/>
  <c r="DM146" i="13" s="1"/>
  <c r="BG146" i="13"/>
  <c r="BD146" i="13"/>
  <c r="DJ146" i="13" s="1"/>
  <c r="BM146" i="13"/>
  <c r="BP146" i="13"/>
  <c r="BN146" i="13"/>
  <c r="BH146" i="13"/>
  <c r="DK146" i="13" s="1"/>
  <c r="BJ146" i="13"/>
  <c r="BE146" i="13"/>
  <c r="BF146" i="13"/>
  <c r="BE64" i="12"/>
  <c r="BL64" i="12"/>
  <c r="DM64" i="12" s="1"/>
  <c r="BM64" i="12"/>
  <c r="BP64" i="12"/>
  <c r="BO64" i="12"/>
  <c r="BN64" i="12"/>
  <c r="BD64" i="12"/>
  <c r="DJ64" i="12" s="1"/>
  <c r="BK64" i="12"/>
  <c r="BH64" i="12"/>
  <c r="DK64" i="12" s="1"/>
  <c r="BG64" i="12"/>
  <c r="BF64" i="12"/>
  <c r="BC64" i="12"/>
  <c r="BI64" i="12"/>
  <c r="DL64" i="12" s="1"/>
  <c r="BJ64" i="12"/>
  <c r="BZ93" i="12"/>
  <c r="DQ93" i="12" s="1"/>
  <c r="CA93" i="12"/>
  <c r="BS93" i="12"/>
  <c r="BQ93" i="12"/>
  <c r="BU93" i="12"/>
  <c r="BV93" i="12"/>
  <c r="DO93" i="12" s="1"/>
  <c r="BY93" i="12"/>
  <c r="CC93" i="12"/>
  <c r="CD93" i="12"/>
  <c r="BW93" i="12"/>
  <c r="DP93" i="12" s="1"/>
  <c r="BT93" i="12"/>
  <c r="CB93" i="12"/>
  <c r="BR93" i="12"/>
  <c r="DN93" i="12" s="1"/>
  <c r="BX93" i="12"/>
  <c r="BW157" i="13"/>
  <c r="DP157" i="13" s="1"/>
  <c r="BS157" i="13"/>
  <c r="BX157" i="13"/>
  <c r="CA157" i="13"/>
  <c r="CB157" i="13"/>
  <c r="BQ157" i="13"/>
  <c r="CC157" i="13"/>
  <c r="BT157" i="13"/>
  <c r="BV157" i="13"/>
  <c r="DO157" i="13" s="1"/>
  <c r="BR157" i="13"/>
  <c r="DN157" i="13" s="1"/>
  <c r="BY157" i="13"/>
  <c r="BU157" i="13"/>
  <c r="BZ157" i="13"/>
  <c r="DQ157" i="13" s="1"/>
  <c r="CD157" i="13"/>
  <c r="CC81" i="14"/>
  <c r="BZ81" i="14"/>
  <c r="DQ81" i="14" s="1"/>
  <c r="BU81" i="14"/>
  <c r="BR81" i="14"/>
  <c r="DN81" i="14" s="1"/>
  <c r="BY81" i="14"/>
  <c r="BX81" i="14"/>
  <c r="BQ81" i="14"/>
  <c r="CB81" i="14"/>
  <c r="BW81" i="14"/>
  <c r="DP81" i="14" s="1"/>
  <c r="BT81" i="14"/>
  <c r="BV81" i="14"/>
  <c r="DO81" i="14" s="1"/>
  <c r="BS81" i="14"/>
  <c r="CD81" i="14"/>
  <c r="CA81" i="14"/>
  <c r="BZ80" i="14"/>
  <c r="DQ80" i="14" s="1"/>
  <c r="CC80" i="14"/>
  <c r="BR80" i="14"/>
  <c r="DN80" i="14" s="1"/>
  <c r="BU80" i="14"/>
  <c r="BY80" i="14"/>
  <c r="BW80" i="14"/>
  <c r="DP80" i="14" s="1"/>
  <c r="BQ80" i="14"/>
  <c r="CB80" i="14"/>
  <c r="BX80" i="14"/>
  <c r="BT80" i="14"/>
  <c r="CD80" i="14"/>
  <c r="BS80" i="14"/>
  <c r="CA80" i="14"/>
  <c r="BV80" i="14"/>
  <c r="DO80" i="14" s="1"/>
  <c r="CA60" i="15"/>
  <c r="BS60" i="15"/>
  <c r="BZ60" i="15"/>
  <c r="DQ60" i="15" s="1"/>
  <c r="BR60" i="15"/>
  <c r="DN60" i="15" s="1"/>
  <c r="BY60" i="15"/>
  <c r="BQ60" i="15"/>
  <c r="CC60" i="15"/>
  <c r="BX60" i="15"/>
  <c r="BW60" i="15"/>
  <c r="DP60" i="15" s="1"/>
  <c r="CD60" i="15"/>
  <c r="BV60" i="15"/>
  <c r="DO60" i="15" s="1"/>
  <c r="BU60" i="15"/>
  <c r="CB60" i="15"/>
  <c r="BT60" i="15"/>
  <c r="AA71" i="12"/>
  <c r="AG71" i="12"/>
  <c r="DD71" i="12" s="1"/>
  <c r="AF71" i="12"/>
  <c r="DC71" i="12" s="1"/>
  <c r="AN71" i="12"/>
  <c r="AH71" i="12"/>
  <c r="AE71" i="12"/>
  <c r="AI71" i="12"/>
  <c r="AL71" i="12"/>
  <c r="AD71" i="12"/>
  <c r="AK71" i="12"/>
  <c r="AJ71" i="12"/>
  <c r="DE71" i="12" s="1"/>
  <c r="AC71" i="12"/>
  <c r="AB71" i="12"/>
  <c r="DB71" i="12" s="1"/>
  <c r="AM71" i="12"/>
  <c r="AC105" i="13"/>
  <c r="AA105" i="13"/>
  <c r="AK105" i="13"/>
  <c r="AI105" i="13"/>
  <c r="AB105" i="13"/>
  <c r="DB105" i="13" s="1"/>
  <c r="AM105" i="13"/>
  <c r="AE105" i="13"/>
  <c r="AJ105" i="13"/>
  <c r="DE105" i="13" s="1"/>
  <c r="AN105" i="13"/>
  <c r="AL105" i="13"/>
  <c r="AG105" i="13"/>
  <c r="DD105" i="13" s="1"/>
  <c r="AF105" i="13"/>
  <c r="DC105" i="13" s="1"/>
  <c r="AH105" i="13"/>
  <c r="AD105" i="13"/>
  <c r="AE39" i="14"/>
  <c r="AM39" i="14"/>
  <c r="AB39" i="14"/>
  <c r="DB39" i="14" s="1"/>
  <c r="AA39" i="14"/>
  <c r="AJ39" i="14"/>
  <c r="DE39" i="14" s="1"/>
  <c r="AI39" i="14"/>
  <c r="AF39" i="14"/>
  <c r="DC39" i="14" s="1"/>
  <c r="AL39" i="14"/>
  <c r="AC39" i="14"/>
  <c r="AN39" i="14"/>
  <c r="AK39" i="14"/>
  <c r="AD39" i="14"/>
  <c r="AH39" i="14"/>
  <c r="AG39" i="14"/>
  <c r="DD39" i="14" s="1"/>
  <c r="AA42" i="14"/>
  <c r="AI42" i="14"/>
  <c r="AG42" i="14"/>
  <c r="DD42" i="14" s="1"/>
  <c r="AE42" i="14"/>
  <c r="AK42" i="14"/>
  <c r="AL42" i="14"/>
  <c r="AH42" i="14"/>
  <c r="AC42" i="14"/>
  <c r="AM42" i="14"/>
  <c r="AN42" i="14"/>
  <c r="AJ42" i="14"/>
  <c r="DE42" i="14" s="1"/>
  <c r="AB42" i="14"/>
  <c r="DB42" i="14" s="1"/>
  <c r="AD42" i="14"/>
  <c r="AF42" i="14"/>
  <c r="DC42" i="14" s="1"/>
  <c r="AB111" i="13"/>
  <c r="DB111" i="13" s="1"/>
  <c r="AE111" i="13"/>
  <c r="AJ111" i="13"/>
  <c r="DE111" i="13" s="1"/>
  <c r="AF111" i="13"/>
  <c r="DC111" i="13" s="1"/>
  <c r="AC111" i="13"/>
  <c r="AK111" i="13"/>
  <c r="AH111" i="13"/>
  <c r="AN111" i="13"/>
  <c r="AA111" i="13"/>
  <c r="AD111" i="13"/>
  <c r="AG111" i="13"/>
  <c r="DD111" i="13" s="1"/>
  <c r="AI111" i="13"/>
  <c r="AM111" i="13"/>
  <c r="AL111" i="13"/>
  <c r="AP66" i="12"/>
  <c r="DF66" i="12" s="1"/>
  <c r="AX66" i="12"/>
  <c r="DI66" i="12" s="1"/>
  <c r="AQ66" i="12"/>
  <c r="AV66" i="12"/>
  <c r="AZ66" i="12"/>
  <c r="AR66" i="12"/>
  <c r="AO66" i="12"/>
  <c r="BA66" i="12"/>
  <c r="AS66" i="12"/>
  <c r="AY66" i="12"/>
  <c r="AT66" i="12"/>
  <c r="DG66" i="12" s="1"/>
  <c r="AW66" i="12"/>
  <c r="AU66" i="12"/>
  <c r="DH66" i="12" s="1"/>
  <c r="BB66" i="12"/>
  <c r="AV103" i="13"/>
  <c r="AZ103" i="13"/>
  <c r="AO103" i="13"/>
  <c r="AS103" i="13"/>
  <c r="AW103" i="13"/>
  <c r="BA103" i="13"/>
  <c r="AP103" i="13"/>
  <c r="DF103" i="13" s="1"/>
  <c r="AU103" i="13"/>
  <c r="DH103" i="13" s="1"/>
  <c r="AX103" i="13"/>
  <c r="DI103" i="13" s="1"/>
  <c r="AQ103" i="13"/>
  <c r="BB103" i="13"/>
  <c r="AR103" i="13"/>
  <c r="AT103" i="13"/>
  <c r="DG103" i="13" s="1"/>
  <c r="AY103" i="13"/>
  <c r="AX114" i="13"/>
  <c r="DI114" i="13" s="1"/>
  <c r="BA114" i="13"/>
  <c r="AQ114" i="13"/>
  <c r="BB114" i="13"/>
  <c r="AY114" i="13"/>
  <c r="AR114" i="13"/>
  <c r="AO114" i="13"/>
  <c r="AU114" i="13"/>
  <c r="DH114" i="13" s="1"/>
  <c r="AW114" i="13"/>
  <c r="AS114" i="13"/>
  <c r="AZ114" i="13"/>
  <c r="AV114" i="13"/>
  <c r="AT114" i="13"/>
  <c r="DG114" i="13" s="1"/>
  <c r="AP114" i="13"/>
  <c r="DF114" i="13" s="1"/>
  <c r="AP105" i="13"/>
  <c r="DF105" i="13" s="1"/>
  <c r="AX105" i="13"/>
  <c r="DI105" i="13" s="1"/>
  <c r="AS105" i="13"/>
  <c r="AQ105" i="13"/>
  <c r="BA105" i="13"/>
  <c r="AY105" i="13"/>
  <c r="AV105" i="13"/>
  <c r="AZ105" i="13"/>
  <c r="AO105" i="13"/>
  <c r="AT105" i="13"/>
  <c r="DG105" i="13" s="1"/>
  <c r="AU105" i="13"/>
  <c r="DH105" i="13" s="1"/>
  <c r="AW105" i="13"/>
  <c r="AR105" i="13"/>
  <c r="BB105" i="13"/>
  <c r="BB38" i="14"/>
  <c r="AU38" i="14"/>
  <c r="DH38" i="14" s="1"/>
  <c r="AT38" i="14"/>
  <c r="DG38" i="14" s="1"/>
  <c r="AQ38" i="14"/>
  <c r="AR38" i="14"/>
  <c r="AV38" i="14"/>
  <c r="AP38" i="14"/>
  <c r="DF38" i="14" s="1"/>
  <c r="AY38" i="14"/>
  <c r="AZ38" i="14"/>
  <c r="BA38" i="14"/>
  <c r="AX38" i="14"/>
  <c r="DI38" i="14" s="1"/>
  <c r="AO38" i="14"/>
  <c r="AS38" i="14"/>
  <c r="AW38" i="14"/>
  <c r="AY91" i="12"/>
  <c r="AQ91" i="12"/>
  <c r="AX91" i="12"/>
  <c r="DI91" i="12" s="1"/>
  <c r="AR91" i="12"/>
  <c r="AS91" i="12"/>
  <c r="AT91" i="12"/>
  <c r="DG91" i="12" s="1"/>
  <c r="AZ91" i="12"/>
  <c r="BA91" i="12"/>
  <c r="BB91" i="12"/>
  <c r="AP91" i="12"/>
  <c r="DF91" i="12" s="1"/>
  <c r="AU91" i="12"/>
  <c r="DH91" i="12" s="1"/>
  <c r="AV91" i="12"/>
  <c r="AO91" i="12"/>
  <c r="AW91" i="12"/>
  <c r="AU90" i="12"/>
  <c r="DH90" i="12" s="1"/>
  <c r="AZ90" i="12"/>
  <c r="BB90" i="12"/>
  <c r="AP90" i="12"/>
  <c r="DF90" i="12" s="1"/>
  <c r="AR90" i="12"/>
  <c r="AX90" i="12"/>
  <c r="DI90" i="12" s="1"/>
  <c r="BA90" i="12"/>
  <c r="AO90" i="12"/>
  <c r="AV90" i="12"/>
  <c r="AW90" i="12"/>
  <c r="AS90" i="12"/>
  <c r="AQ90" i="12"/>
  <c r="AY90" i="12"/>
  <c r="AT90" i="12"/>
  <c r="DG90" i="12" s="1"/>
  <c r="AU156" i="13"/>
  <c r="DH156" i="13" s="1"/>
  <c r="AQ156" i="13"/>
  <c r="AV156" i="13"/>
  <c r="AY156" i="13"/>
  <c r="AO156" i="13"/>
  <c r="AW156" i="13"/>
  <c r="BA156" i="13"/>
  <c r="AP156" i="13"/>
  <c r="DF156" i="13" s="1"/>
  <c r="AT156" i="13"/>
  <c r="DG156" i="13" s="1"/>
  <c r="AX156" i="13"/>
  <c r="DI156" i="13" s="1"/>
  <c r="AS156" i="13"/>
  <c r="BB156" i="13"/>
  <c r="AZ156" i="13"/>
  <c r="AR156" i="13"/>
  <c r="BB154" i="13"/>
  <c r="AQ154" i="13"/>
  <c r="AU154" i="13"/>
  <c r="DH154" i="13" s="1"/>
  <c r="AY154" i="13"/>
  <c r="AV154" i="13"/>
  <c r="AR154" i="13"/>
  <c r="AO154" i="13"/>
  <c r="AZ154" i="13"/>
  <c r="AW154" i="13"/>
  <c r="BA154" i="13"/>
  <c r="AX154" i="13"/>
  <c r="DI154" i="13" s="1"/>
  <c r="AS154" i="13"/>
  <c r="AT154" i="13"/>
  <c r="DG154" i="13" s="1"/>
  <c r="AP154" i="13"/>
  <c r="DF154" i="13" s="1"/>
  <c r="BA149" i="13"/>
  <c r="AZ149" i="13"/>
  <c r="AT149" i="13"/>
  <c r="DG149" i="13" s="1"/>
  <c r="AP149" i="13"/>
  <c r="DF149" i="13" s="1"/>
  <c r="BB149" i="13"/>
  <c r="AQ149" i="13"/>
  <c r="AU149" i="13"/>
  <c r="DH149" i="13" s="1"/>
  <c r="AX149" i="13"/>
  <c r="DI149" i="13" s="1"/>
  <c r="AV149" i="13"/>
  <c r="AY149" i="13"/>
  <c r="AW149" i="13"/>
  <c r="AS149" i="13"/>
  <c r="AO149" i="13"/>
  <c r="AR149" i="13"/>
  <c r="Q70" i="12"/>
  <c r="Y70" i="12"/>
  <c r="M70" i="12"/>
  <c r="X70" i="12"/>
  <c r="U70" i="12"/>
  <c r="P70" i="12"/>
  <c r="O70" i="12"/>
  <c r="Z70" i="12"/>
  <c r="R70" i="12"/>
  <c r="W70" i="12"/>
  <c r="T70" i="12"/>
  <c r="V70" i="12"/>
  <c r="S70" i="12"/>
  <c r="N70" i="12"/>
  <c r="R109" i="13"/>
  <c r="P109" i="13"/>
  <c r="S109" i="13"/>
  <c r="W109" i="13"/>
  <c r="T109" i="13"/>
  <c r="M109" i="13"/>
  <c r="U109" i="13"/>
  <c r="Q109" i="13"/>
  <c r="V109" i="13"/>
  <c r="Y109" i="13"/>
  <c r="X109" i="13"/>
  <c r="N109" i="13"/>
  <c r="O109" i="13"/>
  <c r="Z109" i="13"/>
  <c r="W39" i="14"/>
  <c r="S39" i="14"/>
  <c r="O39" i="14"/>
  <c r="V39" i="14"/>
  <c r="Y39" i="14"/>
  <c r="T39" i="14"/>
  <c r="Z39" i="14"/>
  <c r="M39" i="14"/>
  <c r="X39" i="14"/>
  <c r="U39" i="14"/>
  <c r="R39" i="14"/>
  <c r="P39" i="14"/>
  <c r="N39" i="14"/>
  <c r="Q39" i="14"/>
  <c r="M111" i="13"/>
  <c r="U111" i="13"/>
  <c r="Q111" i="13"/>
  <c r="N111" i="13"/>
  <c r="Y111" i="13"/>
  <c r="P111" i="13"/>
  <c r="Z111" i="13"/>
  <c r="W111" i="13"/>
  <c r="S111" i="13"/>
  <c r="X111" i="13"/>
  <c r="V111" i="13"/>
  <c r="R111" i="13"/>
  <c r="O111" i="13"/>
  <c r="T111" i="13"/>
  <c r="Z40" i="14"/>
  <c r="S40" i="14"/>
  <c r="R40" i="14"/>
  <c r="P40" i="14"/>
  <c r="M40" i="14"/>
  <c r="Q40" i="14"/>
  <c r="U40" i="14"/>
  <c r="N40" i="14"/>
  <c r="V40" i="14"/>
  <c r="O40" i="14"/>
  <c r="W40" i="14"/>
  <c r="T40" i="14"/>
  <c r="Y40" i="14"/>
  <c r="X40" i="14"/>
  <c r="Y13" i="7"/>
  <c r="C90" i="12"/>
  <c r="C93" i="12"/>
  <c r="C88" i="12"/>
  <c r="C98" i="12"/>
  <c r="C97" i="12"/>
  <c r="C94" i="12"/>
  <c r="C89" i="12"/>
  <c r="C92" i="12"/>
  <c r="C99" i="12"/>
  <c r="C95" i="12"/>
  <c r="C96" i="12"/>
  <c r="C91" i="12"/>
  <c r="C100" i="12"/>
  <c r="BK97" i="12"/>
  <c r="BJ97" i="12"/>
  <c r="BI97" i="12"/>
  <c r="DL97" i="12" s="1"/>
  <c r="BD97" i="12"/>
  <c r="DJ97" i="12" s="1"/>
  <c r="BE97" i="12"/>
  <c r="BF97" i="12"/>
  <c r="BG97" i="12"/>
  <c r="BH97" i="12"/>
  <c r="DK97" i="12" s="1"/>
  <c r="BL97" i="12"/>
  <c r="DM97" i="12" s="1"/>
  <c r="BM97" i="12"/>
  <c r="BN97" i="12"/>
  <c r="BO97" i="12"/>
  <c r="BP97" i="12"/>
  <c r="BC97" i="12"/>
  <c r="BE151" i="13"/>
  <c r="BK151" i="13"/>
  <c r="BN151" i="13"/>
  <c r="BC151" i="13"/>
  <c r="BF151" i="13"/>
  <c r="BL151" i="13"/>
  <c r="DM151" i="13" s="1"/>
  <c r="BO151" i="13"/>
  <c r="BD151" i="13"/>
  <c r="DJ151" i="13" s="1"/>
  <c r="BG151" i="13"/>
  <c r="BM151" i="13"/>
  <c r="BP151" i="13"/>
  <c r="BI151" i="13"/>
  <c r="DL151" i="13" s="1"/>
  <c r="BH151" i="13"/>
  <c r="DK151" i="13" s="1"/>
  <c r="BJ151" i="13"/>
  <c r="BE150" i="13"/>
  <c r="BG150" i="13"/>
  <c r="BM150" i="13"/>
  <c r="BH150" i="13"/>
  <c r="DK150" i="13" s="1"/>
  <c r="BF150" i="13"/>
  <c r="BI150" i="13"/>
  <c r="DL150" i="13" s="1"/>
  <c r="BN150" i="13"/>
  <c r="BJ150" i="13"/>
  <c r="BO150" i="13"/>
  <c r="BL150" i="13"/>
  <c r="DM150" i="13" s="1"/>
  <c r="BD150" i="13"/>
  <c r="DJ150" i="13" s="1"/>
  <c r="BC150" i="13"/>
  <c r="BP150" i="13"/>
  <c r="BK150" i="13"/>
  <c r="BI72" i="12"/>
  <c r="DL72" i="12" s="1"/>
  <c r="BF72" i="12"/>
  <c r="BG72" i="12"/>
  <c r="BP72" i="12"/>
  <c r="BH72" i="12"/>
  <c r="DK72" i="12" s="1"/>
  <c r="BD72" i="12"/>
  <c r="DJ72" i="12" s="1"/>
  <c r="BM72" i="12"/>
  <c r="BN72" i="12"/>
  <c r="BE72" i="12"/>
  <c r="BK72" i="12"/>
  <c r="BO72" i="12"/>
  <c r="BJ72" i="12"/>
  <c r="BL72" i="12"/>
  <c r="DM72" i="12" s="1"/>
  <c r="BC72" i="12"/>
  <c r="BH104" i="13"/>
  <c r="DK104" i="13" s="1"/>
  <c r="BE104" i="13"/>
  <c r="BP104" i="13"/>
  <c r="BM104" i="13"/>
  <c r="BI104" i="13"/>
  <c r="DL104" i="13" s="1"/>
  <c r="BJ104" i="13"/>
  <c r="BG104" i="13"/>
  <c r="BO104" i="13"/>
  <c r="BK104" i="13"/>
  <c r="BF104" i="13"/>
  <c r="BD104" i="13"/>
  <c r="DJ104" i="13" s="1"/>
  <c r="BC104" i="13"/>
  <c r="BL104" i="13"/>
  <c r="DM104" i="13" s="1"/>
  <c r="BN104" i="13"/>
  <c r="CD88" i="12"/>
  <c r="BT88" i="12"/>
  <c r="CB88" i="12"/>
  <c r="BS88" i="12"/>
  <c r="CC88" i="12"/>
  <c r="CA88" i="12"/>
  <c r="BR88" i="12"/>
  <c r="DN88" i="12" s="1"/>
  <c r="BZ88" i="12"/>
  <c r="DQ88" i="12" s="1"/>
  <c r="BQ88" i="12"/>
  <c r="BY88" i="12"/>
  <c r="BX88" i="12"/>
  <c r="BW88" i="12"/>
  <c r="DP88" i="12" s="1"/>
  <c r="BV88" i="12"/>
  <c r="DO88" i="12" s="1"/>
  <c r="BU88" i="12"/>
  <c r="BS154" i="13"/>
  <c r="CD154" i="13"/>
  <c r="CA154" i="13"/>
  <c r="BT154" i="13"/>
  <c r="BW154" i="13"/>
  <c r="DP154" i="13" s="1"/>
  <c r="CB154" i="13"/>
  <c r="BX154" i="13"/>
  <c r="BU154" i="13"/>
  <c r="BQ154" i="13"/>
  <c r="CC154" i="13"/>
  <c r="BR154" i="13"/>
  <c r="DN154" i="13" s="1"/>
  <c r="BV154" i="13"/>
  <c r="DO154" i="13" s="1"/>
  <c r="BY154" i="13"/>
  <c r="BZ154" i="13"/>
  <c r="DQ154" i="13" s="1"/>
  <c r="BQ82" i="14"/>
  <c r="BU82" i="14"/>
  <c r="BS82" i="14"/>
  <c r="CB82" i="14"/>
  <c r="BX82" i="14"/>
  <c r="BT82" i="14"/>
  <c r="BW82" i="14"/>
  <c r="DP82" i="14" s="1"/>
  <c r="BZ82" i="14"/>
  <c r="DQ82" i="14" s="1"/>
  <c r="CA82" i="14"/>
  <c r="BR82" i="14"/>
  <c r="DN82" i="14" s="1"/>
  <c r="CD82" i="14"/>
  <c r="BY82" i="14"/>
  <c r="CC82" i="14"/>
  <c r="BV82" i="14"/>
  <c r="DO82" i="14" s="1"/>
  <c r="BY85" i="14"/>
  <c r="CA85" i="14"/>
  <c r="CD85" i="14"/>
  <c r="BS85" i="14"/>
  <c r="BV85" i="14"/>
  <c r="DO85" i="14" s="1"/>
  <c r="BZ85" i="14"/>
  <c r="DQ85" i="14" s="1"/>
  <c r="CC85" i="14"/>
  <c r="BR85" i="14"/>
  <c r="DN85" i="14" s="1"/>
  <c r="BU85" i="14"/>
  <c r="BX85" i="14"/>
  <c r="BQ85" i="14"/>
  <c r="BW85" i="14"/>
  <c r="DP85" i="14" s="1"/>
  <c r="BT85" i="14"/>
  <c r="CB85" i="14"/>
  <c r="BT84" i="14"/>
  <c r="BX84" i="14"/>
  <c r="CA84" i="14"/>
  <c r="CD84" i="14"/>
  <c r="BS84" i="14"/>
  <c r="BV84" i="14"/>
  <c r="DO84" i="14" s="1"/>
  <c r="BW84" i="14"/>
  <c r="DP84" i="14" s="1"/>
  <c r="BZ84" i="14"/>
  <c r="DQ84" i="14" s="1"/>
  <c r="CC84" i="14"/>
  <c r="BR84" i="14"/>
  <c r="DN84" i="14" s="1"/>
  <c r="CB84" i="14"/>
  <c r="BQ84" i="14"/>
  <c r="BU84" i="14"/>
  <c r="BY84" i="14"/>
  <c r="D75" i="12"/>
  <c r="AC74" i="12"/>
  <c r="AN74" i="12"/>
  <c r="AK74" i="12"/>
  <c r="AG74" i="12"/>
  <c r="DD74" i="12" s="1"/>
  <c r="AJ74" i="12"/>
  <c r="DE74" i="12" s="1"/>
  <c r="AB74" i="12"/>
  <c r="DB74" i="12" s="1"/>
  <c r="AD74" i="12"/>
  <c r="AH74" i="12"/>
  <c r="AL74" i="12"/>
  <c r="AA74" i="12"/>
  <c r="AE74" i="12"/>
  <c r="AI74" i="12"/>
  <c r="AM74" i="12"/>
  <c r="AF74" i="12"/>
  <c r="DC74" i="12" s="1"/>
  <c r="AG65" i="12"/>
  <c r="DD65" i="12" s="1"/>
  <c r="AL65" i="12"/>
  <c r="AH65" i="12"/>
  <c r="AK65" i="12"/>
  <c r="AM65" i="12"/>
  <c r="AC65" i="12"/>
  <c r="AF65" i="12"/>
  <c r="DC65" i="12" s="1"/>
  <c r="AN65" i="12"/>
  <c r="AD65" i="12"/>
  <c r="AE65" i="12"/>
  <c r="AB65" i="12"/>
  <c r="DB65" i="12" s="1"/>
  <c r="AJ65" i="12"/>
  <c r="DE65" i="12" s="1"/>
  <c r="AI65" i="12"/>
  <c r="AA65" i="12"/>
  <c r="AQ62" i="12"/>
  <c r="AY62" i="12"/>
  <c r="AR62" i="12"/>
  <c r="AZ62" i="12"/>
  <c r="AS62" i="12"/>
  <c r="BA62" i="12"/>
  <c r="AT62" i="12"/>
  <c r="DG62" i="12" s="1"/>
  <c r="BB62" i="12"/>
  <c r="AU62" i="12"/>
  <c r="DH62" i="12" s="1"/>
  <c r="AV62" i="12"/>
  <c r="AO62" i="12"/>
  <c r="AW62" i="12"/>
  <c r="AP62" i="12"/>
  <c r="DF62" i="12" s="1"/>
  <c r="AX62" i="12"/>
  <c r="DI62" i="12" s="1"/>
  <c r="AU107" i="13"/>
  <c r="DH107" i="13" s="1"/>
  <c r="AZ107" i="13"/>
  <c r="AV107" i="13"/>
  <c r="BB107" i="13"/>
  <c r="AO107" i="13"/>
  <c r="AQ107" i="13"/>
  <c r="AW107" i="13"/>
  <c r="AP107" i="13"/>
  <c r="DF107" i="13" s="1"/>
  <c r="AS107" i="13"/>
  <c r="AX107" i="13"/>
  <c r="DI107" i="13" s="1"/>
  <c r="BA107" i="13"/>
  <c r="AT107" i="13"/>
  <c r="DG107" i="13" s="1"/>
  <c r="AR107" i="13"/>
  <c r="AY107" i="13"/>
  <c r="BA40" i="14"/>
  <c r="AP40" i="14"/>
  <c r="DF40" i="14" s="1"/>
  <c r="AO40" i="14"/>
  <c r="AX40" i="14"/>
  <c r="DI40" i="14" s="1"/>
  <c r="AW40" i="14"/>
  <c r="AT40" i="14"/>
  <c r="DG40" i="14" s="1"/>
  <c r="AS40" i="14"/>
  <c r="AQ40" i="14"/>
  <c r="BB40" i="14"/>
  <c r="AU40" i="14"/>
  <c r="DH40" i="14" s="1"/>
  <c r="AV40" i="14"/>
  <c r="AY40" i="14"/>
  <c r="AR40" i="14"/>
  <c r="AZ40" i="14"/>
  <c r="AV113" i="13"/>
  <c r="AR113" i="13"/>
  <c r="AQ113" i="13"/>
  <c r="AZ113" i="13"/>
  <c r="AY113" i="13"/>
  <c r="AS113" i="13"/>
  <c r="AO113" i="13"/>
  <c r="BA113" i="13"/>
  <c r="AP113" i="13"/>
  <c r="DF113" i="13" s="1"/>
  <c r="BB113" i="13"/>
  <c r="AX113" i="13"/>
  <c r="DI113" i="13" s="1"/>
  <c r="AT113" i="13"/>
  <c r="DG113" i="13" s="1"/>
  <c r="AU113" i="13"/>
  <c r="DH113" i="13" s="1"/>
  <c r="AW113" i="13"/>
  <c r="AU42" i="14"/>
  <c r="DH42" i="14" s="1"/>
  <c r="AV42" i="14"/>
  <c r="AO42" i="14"/>
  <c r="AW42" i="14"/>
  <c r="AT42" i="14"/>
  <c r="DG42" i="14" s="1"/>
  <c r="AX42" i="14"/>
  <c r="DI42" i="14" s="1"/>
  <c r="AS42" i="14"/>
  <c r="BB42" i="14"/>
  <c r="AP42" i="14"/>
  <c r="DF42" i="14" s="1"/>
  <c r="AQ42" i="14"/>
  <c r="BA42" i="14"/>
  <c r="AY42" i="14"/>
  <c r="AZ42" i="14"/>
  <c r="AR42" i="14"/>
  <c r="AV94" i="12"/>
  <c r="AO94" i="12"/>
  <c r="AP94" i="12"/>
  <c r="DF94" i="12" s="1"/>
  <c r="AX94" i="12"/>
  <c r="DI94" i="12" s="1"/>
  <c r="AT94" i="12"/>
  <c r="DG94" i="12" s="1"/>
  <c r="BB94" i="12"/>
  <c r="AQ94" i="12"/>
  <c r="AR94" i="12"/>
  <c r="AS94" i="12"/>
  <c r="AY94" i="12"/>
  <c r="AZ94" i="12"/>
  <c r="BA94" i="12"/>
  <c r="AW94" i="12"/>
  <c r="AU94" i="12"/>
  <c r="DH94" i="12" s="1"/>
  <c r="AP157" i="13"/>
  <c r="DF157" i="13" s="1"/>
  <c r="AT157" i="13"/>
  <c r="DG157" i="13" s="1"/>
  <c r="AX157" i="13"/>
  <c r="DI157" i="13" s="1"/>
  <c r="BB157" i="13"/>
  <c r="AQ157" i="13"/>
  <c r="AV157" i="13"/>
  <c r="AY157" i="13"/>
  <c r="AU157" i="13"/>
  <c r="DH157" i="13" s="1"/>
  <c r="AR157" i="13"/>
  <c r="AZ157" i="13"/>
  <c r="AW157" i="13"/>
  <c r="BA157" i="13"/>
  <c r="AO157" i="13"/>
  <c r="AS157" i="13"/>
  <c r="AW81" i="14"/>
  <c r="AS81" i="14"/>
  <c r="AO81" i="14"/>
  <c r="AV81" i="14"/>
  <c r="AY81" i="14"/>
  <c r="AU81" i="14"/>
  <c r="DH81" i="14" s="1"/>
  <c r="AQ81" i="14"/>
  <c r="BB81" i="14"/>
  <c r="AX81" i="14"/>
  <c r="DI81" i="14" s="1"/>
  <c r="AT81" i="14"/>
  <c r="DG81" i="14" s="1"/>
  <c r="BA81" i="14"/>
  <c r="AR81" i="14"/>
  <c r="AP81" i="14"/>
  <c r="DF81" i="14" s="1"/>
  <c r="AZ81" i="14"/>
  <c r="AX155" i="13"/>
  <c r="DI155" i="13" s="1"/>
  <c r="AW155" i="13"/>
  <c r="AR155" i="13"/>
  <c r="BA155" i="13"/>
  <c r="AV155" i="13"/>
  <c r="AS155" i="13"/>
  <c r="AP155" i="13"/>
  <c r="DF155" i="13" s="1"/>
  <c r="BB155" i="13"/>
  <c r="AQ155" i="13"/>
  <c r="AO155" i="13"/>
  <c r="AT155" i="13"/>
  <c r="DG155" i="13" s="1"/>
  <c r="AU155" i="13"/>
  <c r="DH155" i="13" s="1"/>
  <c r="AY155" i="13"/>
  <c r="AZ155" i="13"/>
  <c r="BA158" i="13"/>
  <c r="AS158" i="13"/>
  <c r="AT158" i="13"/>
  <c r="DG158" i="13" s="1"/>
  <c r="AQ158" i="13"/>
  <c r="AU158" i="13"/>
  <c r="DH158" i="13" s="1"/>
  <c r="AY158" i="13"/>
  <c r="AX158" i="13"/>
  <c r="DI158" i="13" s="1"/>
  <c r="AR158" i="13"/>
  <c r="AV158" i="13"/>
  <c r="AW158" i="13"/>
  <c r="AZ158" i="13"/>
  <c r="AO158" i="13"/>
  <c r="BB158" i="13"/>
  <c r="AP158" i="13"/>
  <c r="DF158" i="13" s="1"/>
  <c r="AX153" i="13"/>
  <c r="DI153" i="13" s="1"/>
  <c r="BB153" i="13"/>
  <c r="AQ153" i="13"/>
  <c r="AY153" i="13"/>
  <c r="AU153" i="13"/>
  <c r="DH153" i="13" s="1"/>
  <c r="AR153" i="13"/>
  <c r="AV153" i="13"/>
  <c r="AZ153" i="13"/>
  <c r="AW153" i="13"/>
  <c r="BA153" i="13"/>
  <c r="AO153" i="13"/>
  <c r="AP153" i="13"/>
  <c r="DF153" i="13" s="1"/>
  <c r="AS153" i="13"/>
  <c r="AT153" i="13"/>
  <c r="DG153" i="13" s="1"/>
  <c r="T71" i="12"/>
  <c r="Q71" i="12"/>
  <c r="Z71" i="12"/>
  <c r="O71" i="12"/>
  <c r="W71" i="12"/>
  <c r="Y71" i="12"/>
  <c r="P71" i="12"/>
  <c r="X71" i="12"/>
  <c r="S71" i="12"/>
  <c r="R71" i="12"/>
  <c r="V71" i="12"/>
  <c r="N71" i="12"/>
  <c r="U71" i="12"/>
  <c r="M71" i="12"/>
  <c r="T113" i="13"/>
  <c r="X113" i="13"/>
  <c r="M113" i="13"/>
  <c r="S113" i="13"/>
  <c r="U113" i="13"/>
  <c r="Q113" i="13"/>
  <c r="N113" i="13"/>
  <c r="R113" i="13"/>
  <c r="O113" i="13"/>
  <c r="Z113" i="13"/>
  <c r="W113" i="13"/>
  <c r="V113" i="13"/>
  <c r="P113" i="13"/>
  <c r="Y113" i="13"/>
  <c r="M115" i="13"/>
  <c r="W115" i="13"/>
  <c r="U115" i="13"/>
  <c r="X115" i="13"/>
  <c r="N115" i="13"/>
  <c r="V115" i="13"/>
  <c r="S115" i="13"/>
  <c r="R115" i="13"/>
  <c r="Q115" i="13"/>
  <c r="Z115" i="13"/>
  <c r="Y115" i="13"/>
  <c r="O115" i="13"/>
  <c r="T115" i="13"/>
  <c r="P115" i="13"/>
  <c r="H67" i="15"/>
  <c r="I67" i="15" s="1"/>
  <c r="H90" i="12"/>
  <c r="H89" i="12"/>
  <c r="H92" i="12"/>
  <c r="H94" i="12"/>
  <c r="H98" i="12"/>
  <c r="H97" i="12"/>
  <c r="H93" i="12"/>
  <c r="H88" i="12"/>
  <c r="H96" i="12"/>
  <c r="H95" i="12"/>
  <c r="H99" i="12"/>
  <c r="H91" i="12"/>
  <c r="H100" i="12"/>
  <c r="I100" i="12" s="1"/>
  <c r="F101" i="12"/>
  <c r="BD100" i="12"/>
  <c r="DJ100" i="12" s="1"/>
  <c r="BG100" i="12"/>
  <c r="BK100" i="12"/>
  <c r="BN100" i="12"/>
  <c r="BC100" i="12"/>
  <c r="BF100" i="12"/>
  <c r="BJ100" i="12"/>
  <c r="BI100" i="12"/>
  <c r="DL100" i="12" s="1"/>
  <c r="BM100" i="12"/>
  <c r="BP100" i="12"/>
  <c r="BE100" i="12"/>
  <c r="BH100" i="12"/>
  <c r="DK100" i="12" s="1"/>
  <c r="BL100" i="12"/>
  <c r="DM100" i="12" s="1"/>
  <c r="BO100" i="12"/>
  <c r="BL92" i="12"/>
  <c r="DM92" i="12" s="1"/>
  <c r="BF92" i="12"/>
  <c r="BI92" i="12"/>
  <c r="DL92" i="12" s="1"/>
  <c r="BD92" i="12"/>
  <c r="DJ92" i="12" s="1"/>
  <c r="BE92" i="12"/>
  <c r="BN92" i="12"/>
  <c r="BJ92" i="12"/>
  <c r="BC92" i="12"/>
  <c r="BK92" i="12"/>
  <c r="BM92" i="12"/>
  <c r="BG92" i="12"/>
  <c r="BO92" i="12"/>
  <c r="BH92" i="12"/>
  <c r="DK92" i="12" s="1"/>
  <c r="BP92" i="12"/>
  <c r="BH148" i="13"/>
  <c r="DK148" i="13" s="1"/>
  <c r="BD148" i="13"/>
  <c r="DJ148" i="13" s="1"/>
  <c r="BN148" i="13"/>
  <c r="BE148" i="13"/>
  <c r="BG148" i="13"/>
  <c r="BM148" i="13"/>
  <c r="BO148" i="13"/>
  <c r="BL148" i="13"/>
  <c r="DM148" i="13" s="1"/>
  <c r="BP148" i="13"/>
  <c r="BJ148" i="13"/>
  <c r="BC148" i="13"/>
  <c r="BF148" i="13"/>
  <c r="BI148" i="13"/>
  <c r="DL148" i="13" s="1"/>
  <c r="BK148" i="13"/>
  <c r="BD155" i="13"/>
  <c r="DJ155" i="13" s="1"/>
  <c r="BM155" i="13"/>
  <c r="BL155" i="13"/>
  <c r="DM155" i="13" s="1"/>
  <c r="BE155" i="13"/>
  <c r="BH155" i="13"/>
  <c r="DK155" i="13" s="1"/>
  <c r="BN155" i="13"/>
  <c r="BI155" i="13"/>
  <c r="DL155" i="13" s="1"/>
  <c r="BP155" i="13"/>
  <c r="BG155" i="13"/>
  <c r="BO155" i="13"/>
  <c r="BK155" i="13"/>
  <c r="BJ155" i="13"/>
  <c r="BF155" i="13"/>
  <c r="BC155" i="13"/>
  <c r="BI154" i="13"/>
  <c r="DL154" i="13" s="1"/>
  <c r="BF154" i="13"/>
  <c r="BG154" i="13"/>
  <c r="BL154" i="13"/>
  <c r="DM154" i="13" s="1"/>
  <c r="BO154" i="13"/>
  <c r="BE154" i="13"/>
  <c r="BH154" i="13"/>
  <c r="DK154" i="13" s="1"/>
  <c r="BM154" i="13"/>
  <c r="BP154" i="13"/>
  <c r="BN154" i="13"/>
  <c r="BC154" i="13"/>
  <c r="BK154" i="13"/>
  <c r="BD154" i="13"/>
  <c r="DJ154" i="13" s="1"/>
  <c r="BJ154" i="13"/>
  <c r="F75" i="12"/>
  <c r="BM74" i="12"/>
  <c r="BG74" i="12"/>
  <c r="BD74" i="12"/>
  <c r="DJ74" i="12" s="1"/>
  <c r="BO74" i="12"/>
  <c r="BL74" i="12"/>
  <c r="DM74" i="12" s="1"/>
  <c r="BE74" i="12"/>
  <c r="BI74" i="12"/>
  <c r="DL74" i="12" s="1"/>
  <c r="BF74" i="12"/>
  <c r="BJ74" i="12"/>
  <c r="BP74" i="12"/>
  <c r="BC74" i="12"/>
  <c r="BN74" i="12"/>
  <c r="BK74" i="12"/>
  <c r="BH74" i="12"/>
  <c r="DK74" i="12" s="1"/>
  <c r="BE67" i="12"/>
  <c r="BC67" i="12"/>
  <c r="BK67" i="12"/>
  <c r="BI67" i="12"/>
  <c r="DL67" i="12" s="1"/>
  <c r="BN67" i="12"/>
  <c r="BD67" i="12"/>
  <c r="DJ67" i="12" s="1"/>
  <c r="BL67" i="12"/>
  <c r="DM67" i="12" s="1"/>
  <c r="BO67" i="12"/>
  <c r="BG67" i="12"/>
  <c r="BF67" i="12"/>
  <c r="BP67" i="12"/>
  <c r="BM67" i="12"/>
  <c r="BJ67" i="12"/>
  <c r="BH67" i="12"/>
  <c r="DK67" i="12" s="1"/>
  <c r="BF106" i="13"/>
  <c r="BC106" i="13"/>
  <c r="BN106" i="13"/>
  <c r="BK106" i="13"/>
  <c r="BG106" i="13"/>
  <c r="BE106" i="13"/>
  <c r="BO106" i="13"/>
  <c r="BM106" i="13"/>
  <c r="BP106" i="13"/>
  <c r="BD106" i="13"/>
  <c r="DJ106" i="13" s="1"/>
  <c r="BI106" i="13"/>
  <c r="DL106" i="13" s="1"/>
  <c r="BL106" i="13"/>
  <c r="DM106" i="13" s="1"/>
  <c r="BH106" i="13"/>
  <c r="DK106" i="13" s="1"/>
  <c r="BJ106" i="13"/>
  <c r="BD108" i="13"/>
  <c r="DJ108" i="13" s="1"/>
  <c r="BM108" i="13"/>
  <c r="BG108" i="13"/>
  <c r="BE108" i="13"/>
  <c r="BI108" i="13"/>
  <c r="DL108" i="13" s="1"/>
  <c r="BN108" i="13"/>
  <c r="BJ108" i="13"/>
  <c r="BH108" i="13"/>
  <c r="DK108" i="13" s="1"/>
  <c r="BK108" i="13"/>
  <c r="BP108" i="13"/>
  <c r="BL108" i="13"/>
  <c r="DM108" i="13" s="1"/>
  <c r="BF108" i="13"/>
  <c r="BC108" i="13"/>
  <c r="BO108" i="13"/>
  <c r="BS97" i="12"/>
  <c r="BZ97" i="12"/>
  <c r="DQ97" i="12" s="1"/>
  <c r="BT97" i="12"/>
  <c r="BU97" i="12"/>
  <c r="BV97" i="12"/>
  <c r="DO97" i="12" s="1"/>
  <c r="BW97" i="12"/>
  <c r="DP97" i="12" s="1"/>
  <c r="CB97" i="12"/>
  <c r="CC97" i="12"/>
  <c r="CD97" i="12"/>
  <c r="BQ97" i="12"/>
  <c r="BR97" i="12"/>
  <c r="DN97" i="12" s="1"/>
  <c r="CA97" i="12"/>
  <c r="BY97" i="12"/>
  <c r="BX97" i="12"/>
  <c r="CC79" i="14"/>
  <c r="CA79" i="14"/>
  <c r="BX79" i="14"/>
  <c r="BS79" i="14"/>
  <c r="BW79" i="14"/>
  <c r="DP79" i="14" s="1"/>
  <c r="BU79" i="14"/>
  <c r="CD79" i="14"/>
  <c r="BZ79" i="14"/>
  <c r="DQ79" i="14" s="1"/>
  <c r="BV79" i="14"/>
  <c r="DO79" i="14" s="1"/>
  <c r="BR79" i="14"/>
  <c r="DN79" i="14" s="1"/>
  <c r="CB79" i="14"/>
  <c r="BQ79" i="14"/>
  <c r="BY79" i="14"/>
  <c r="BT79" i="14"/>
  <c r="BY150" i="13"/>
  <c r="BW150" i="13"/>
  <c r="DP150" i="13" s="1"/>
  <c r="BZ150" i="13"/>
  <c r="DQ150" i="13" s="1"/>
  <c r="BX150" i="13"/>
  <c r="BQ150" i="13"/>
  <c r="CA150" i="13"/>
  <c r="BU150" i="13"/>
  <c r="BR150" i="13"/>
  <c r="DN150" i="13" s="1"/>
  <c r="CC150" i="13"/>
  <c r="CB150" i="13"/>
  <c r="CD150" i="13"/>
  <c r="BT150" i="13"/>
  <c r="BV150" i="13"/>
  <c r="DO150" i="13" s="1"/>
  <c r="BS150" i="13"/>
  <c r="AG62" i="12"/>
  <c r="DD62" i="12" s="1"/>
  <c r="AM62" i="12"/>
  <c r="AK62" i="12"/>
  <c r="AE62" i="12"/>
  <c r="AC62" i="12"/>
  <c r="AN62" i="12"/>
  <c r="AJ62" i="12"/>
  <c r="DE62" i="12" s="1"/>
  <c r="AF62" i="12"/>
  <c r="DC62" i="12" s="1"/>
  <c r="AL62" i="12"/>
  <c r="AB62" i="12"/>
  <c r="DB62" i="12" s="1"/>
  <c r="AD62" i="12"/>
  <c r="AH62" i="12"/>
  <c r="AI62" i="12"/>
  <c r="AA62" i="12"/>
  <c r="AE64" i="12"/>
  <c r="AM64" i="12"/>
  <c r="AI64" i="12"/>
  <c r="AB64" i="12"/>
  <c r="DB64" i="12" s="1"/>
  <c r="AJ64" i="12"/>
  <c r="DE64" i="12" s="1"/>
  <c r="AF64" i="12"/>
  <c r="DC64" i="12" s="1"/>
  <c r="AC64" i="12"/>
  <c r="AN64" i="12"/>
  <c r="AK64" i="12"/>
  <c r="AG64" i="12"/>
  <c r="DD64" i="12" s="1"/>
  <c r="AD64" i="12"/>
  <c r="AH64" i="12"/>
  <c r="AL64" i="12"/>
  <c r="AA64" i="12"/>
  <c r="AA109" i="13"/>
  <c r="AF109" i="13"/>
  <c r="DC109" i="13" s="1"/>
  <c r="AI109" i="13"/>
  <c r="AN109" i="13"/>
  <c r="AB109" i="13"/>
  <c r="DB109" i="13" s="1"/>
  <c r="AE109" i="13"/>
  <c r="AJ109" i="13"/>
  <c r="DE109" i="13" s="1"/>
  <c r="AM109" i="13"/>
  <c r="AK109" i="13"/>
  <c r="AG109" i="13"/>
  <c r="DD109" i="13" s="1"/>
  <c r="AD109" i="13"/>
  <c r="AL109" i="13"/>
  <c r="AH109" i="13"/>
  <c r="AC109" i="13"/>
  <c r="AD115" i="13"/>
  <c r="AC115" i="13"/>
  <c r="AH115" i="13"/>
  <c r="AL115" i="13"/>
  <c r="AA115" i="13"/>
  <c r="AG115" i="13"/>
  <c r="DD115" i="13" s="1"/>
  <c r="AI115" i="13"/>
  <c r="AE115" i="13"/>
  <c r="AB115" i="13"/>
  <c r="DB115" i="13" s="1"/>
  <c r="AF115" i="13"/>
  <c r="DC115" i="13" s="1"/>
  <c r="AJ115" i="13"/>
  <c r="DE115" i="13" s="1"/>
  <c r="AM115" i="13"/>
  <c r="AN115" i="13"/>
  <c r="AK115" i="13"/>
  <c r="E75" i="12"/>
  <c r="AO74" i="12"/>
  <c r="AV74" i="12"/>
  <c r="AS74" i="12"/>
  <c r="AW74" i="12"/>
  <c r="BA74" i="12"/>
  <c r="AP74" i="12"/>
  <c r="DF74" i="12" s="1"/>
  <c r="AT74" i="12"/>
  <c r="DG74" i="12" s="1"/>
  <c r="AX74" i="12"/>
  <c r="DI74" i="12" s="1"/>
  <c r="BB74" i="12"/>
  <c r="AQ74" i="12"/>
  <c r="AZ74" i="12"/>
  <c r="AY74" i="12"/>
  <c r="AU74" i="12"/>
  <c r="DH74" i="12" s="1"/>
  <c r="AR74" i="12"/>
  <c r="AU63" i="12"/>
  <c r="DH63" i="12" s="1"/>
  <c r="AZ63" i="12"/>
  <c r="BB63" i="12"/>
  <c r="AT63" i="12"/>
  <c r="DG63" i="12" s="1"/>
  <c r="AR63" i="12"/>
  <c r="AX63" i="12"/>
  <c r="DI63" i="12" s="1"/>
  <c r="AW63" i="12"/>
  <c r="AV63" i="12"/>
  <c r="BA63" i="12"/>
  <c r="AP63" i="12"/>
  <c r="DF63" i="12" s="1"/>
  <c r="AO63" i="12"/>
  <c r="AS63" i="12"/>
  <c r="AY63" i="12"/>
  <c r="AQ63" i="12"/>
  <c r="AW17" i="15"/>
  <c r="AR17" i="15"/>
  <c r="AY17" i="15"/>
  <c r="BA17" i="15"/>
  <c r="AO17" i="15"/>
  <c r="AZ17" i="15"/>
  <c r="AT17" i="15"/>
  <c r="DG17" i="15" s="1"/>
  <c r="AP17" i="15"/>
  <c r="DF17" i="15" s="1"/>
  <c r="AV17" i="15"/>
  <c r="BB17" i="15"/>
  <c r="AQ17" i="15"/>
  <c r="AU17" i="15"/>
  <c r="DH17" i="15" s="1"/>
  <c r="AX17" i="15"/>
  <c r="DI17" i="15" s="1"/>
  <c r="AS17" i="15"/>
  <c r="AV98" i="12"/>
  <c r="AW98" i="12"/>
  <c r="AO98" i="12"/>
  <c r="AU98" i="12"/>
  <c r="DH98" i="12" s="1"/>
  <c r="AY98" i="12"/>
  <c r="AP98" i="12"/>
  <c r="DF98" i="12" s="1"/>
  <c r="AX98" i="12"/>
  <c r="DI98" i="12" s="1"/>
  <c r="AT98" i="12"/>
  <c r="DG98" i="12" s="1"/>
  <c r="BB98" i="12"/>
  <c r="AQ98" i="12"/>
  <c r="AR98" i="12"/>
  <c r="AS98" i="12"/>
  <c r="AZ98" i="12"/>
  <c r="BA98" i="12"/>
  <c r="AY82" i="14"/>
  <c r="BB82" i="14"/>
  <c r="AQ82" i="14"/>
  <c r="AT82" i="14"/>
  <c r="DG82" i="14" s="1"/>
  <c r="AP82" i="14"/>
  <c r="DF82" i="14" s="1"/>
  <c r="BA82" i="14"/>
  <c r="AW82" i="14"/>
  <c r="AZ82" i="14"/>
  <c r="AV82" i="14"/>
  <c r="AU82" i="14"/>
  <c r="DH82" i="14" s="1"/>
  <c r="AX82" i="14"/>
  <c r="DI82" i="14" s="1"/>
  <c r="AS82" i="14"/>
  <c r="AR82" i="14"/>
  <c r="AO82" i="14"/>
  <c r="AS85" i="14"/>
  <c r="AV85" i="14"/>
  <c r="AY85" i="14"/>
  <c r="AU85" i="14"/>
  <c r="DH85" i="14" s="1"/>
  <c r="AQ85" i="14"/>
  <c r="BA85" i="14"/>
  <c r="AX85" i="14"/>
  <c r="DI85" i="14" s="1"/>
  <c r="BB85" i="14"/>
  <c r="AP85" i="14"/>
  <c r="DF85" i="14" s="1"/>
  <c r="AT85" i="14"/>
  <c r="DG85" i="14" s="1"/>
  <c r="AO85" i="14"/>
  <c r="AR85" i="14"/>
  <c r="AW85" i="14"/>
  <c r="AZ85" i="14"/>
  <c r="AV80" i="14"/>
  <c r="AZ80" i="14"/>
  <c r="AU80" i="14"/>
  <c r="DH80" i="14" s="1"/>
  <c r="AR80" i="14"/>
  <c r="AQ80" i="14"/>
  <c r="AX80" i="14"/>
  <c r="DI80" i="14" s="1"/>
  <c r="BB80" i="14"/>
  <c r="AP80" i="14"/>
  <c r="DF80" i="14" s="1"/>
  <c r="AT80" i="14"/>
  <c r="DG80" i="14" s="1"/>
  <c r="BA80" i="14"/>
  <c r="AO80" i="14"/>
  <c r="AY80" i="14"/>
  <c r="AW80" i="14"/>
  <c r="AS80" i="14"/>
  <c r="BA79" i="14"/>
  <c r="AP79" i="14"/>
  <c r="DF79" i="14" s="1"/>
  <c r="AS79" i="14"/>
  <c r="AV79" i="14"/>
  <c r="AZ79" i="14"/>
  <c r="AR79" i="14"/>
  <c r="AU79" i="14"/>
  <c r="DH79" i="14" s="1"/>
  <c r="AY79" i="14"/>
  <c r="AW79" i="14"/>
  <c r="AQ79" i="14"/>
  <c r="AT79" i="14"/>
  <c r="DG79" i="14" s="1"/>
  <c r="AX79" i="14"/>
  <c r="DI79" i="14" s="1"/>
  <c r="BB79" i="14"/>
  <c r="AO79" i="14"/>
  <c r="C75" i="12"/>
  <c r="W74" i="12"/>
  <c r="S74" i="12"/>
  <c r="P74" i="12"/>
  <c r="X74" i="12"/>
  <c r="M74" i="12"/>
  <c r="Q74" i="12"/>
  <c r="U74" i="12"/>
  <c r="Y74" i="12"/>
  <c r="N74" i="12"/>
  <c r="R74" i="12"/>
  <c r="V74" i="12"/>
  <c r="Z74" i="12"/>
  <c r="O74" i="12"/>
  <c r="T74" i="12"/>
  <c r="Q65" i="12"/>
  <c r="P65" i="12"/>
  <c r="X65" i="12"/>
  <c r="N65" i="12"/>
  <c r="W65" i="12"/>
  <c r="O65" i="12"/>
  <c r="M65" i="12"/>
  <c r="R65" i="12"/>
  <c r="V65" i="12"/>
  <c r="T65" i="12"/>
  <c r="Z65" i="12"/>
  <c r="U65" i="12"/>
  <c r="Y65" i="12"/>
  <c r="S65" i="12"/>
  <c r="X110" i="13"/>
  <c r="M110" i="13"/>
  <c r="Q110" i="13"/>
  <c r="U110" i="13"/>
  <c r="Y110" i="13"/>
  <c r="N110" i="13"/>
  <c r="R110" i="13"/>
  <c r="V110" i="13"/>
  <c r="Z110" i="13"/>
  <c r="W110" i="13"/>
  <c r="T110" i="13"/>
  <c r="S110" i="13"/>
  <c r="O110" i="13"/>
  <c r="P110" i="13"/>
  <c r="V36" i="14"/>
  <c r="Y36" i="14"/>
  <c r="Q36" i="14"/>
  <c r="S36" i="14"/>
  <c r="P36" i="14"/>
  <c r="R36" i="14"/>
  <c r="X36" i="14"/>
  <c r="M36" i="14"/>
  <c r="T36" i="14"/>
  <c r="U36" i="14"/>
  <c r="O36" i="14"/>
  <c r="Z36" i="14"/>
  <c r="N36" i="14"/>
  <c r="W36" i="14"/>
  <c r="X17" i="15"/>
  <c r="Q17" i="15"/>
  <c r="T17" i="15"/>
  <c r="P17" i="15"/>
  <c r="O17" i="15"/>
  <c r="Y17" i="15"/>
  <c r="Z17" i="15"/>
  <c r="R17" i="15"/>
  <c r="M17" i="15"/>
  <c r="N17" i="15"/>
  <c r="U17" i="15"/>
  <c r="V17" i="15"/>
  <c r="S17" i="15"/>
  <c r="W17" i="15"/>
  <c r="BK96" i="12"/>
  <c r="BD96" i="12"/>
  <c r="DJ96" i="12" s="1"/>
  <c r="BG96" i="12"/>
  <c r="BO96" i="12"/>
  <c r="BH96" i="12"/>
  <c r="DK96" i="12" s="1"/>
  <c r="BC96" i="12"/>
  <c r="BL96" i="12"/>
  <c r="DM96" i="12" s="1"/>
  <c r="BE96" i="12"/>
  <c r="BP96" i="12"/>
  <c r="BI96" i="12"/>
  <c r="DL96" i="12" s="1"/>
  <c r="BM96" i="12"/>
  <c r="BJ96" i="12"/>
  <c r="BF96" i="12"/>
  <c r="BN96" i="12"/>
  <c r="BL94" i="12"/>
  <c r="DM94" i="12" s="1"/>
  <c r="BM94" i="12"/>
  <c r="BE94" i="12"/>
  <c r="BC94" i="12"/>
  <c r="BK94" i="12"/>
  <c r="BF94" i="12"/>
  <c r="BG94" i="12"/>
  <c r="BH94" i="12"/>
  <c r="DK94" i="12" s="1"/>
  <c r="BD94" i="12"/>
  <c r="DJ94" i="12" s="1"/>
  <c r="BN94" i="12"/>
  <c r="BO94" i="12"/>
  <c r="BP94" i="12"/>
  <c r="BI94" i="12"/>
  <c r="DL94" i="12" s="1"/>
  <c r="BJ94" i="12"/>
  <c r="BI152" i="13"/>
  <c r="DL152" i="13" s="1"/>
  <c r="BF152" i="13"/>
  <c r="BK152" i="13"/>
  <c r="BD152" i="13"/>
  <c r="DJ152" i="13" s="1"/>
  <c r="BG152" i="13"/>
  <c r="BL152" i="13"/>
  <c r="DM152" i="13" s="1"/>
  <c r="BO152" i="13"/>
  <c r="BE152" i="13"/>
  <c r="BH152" i="13"/>
  <c r="DK152" i="13" s="1"/>
  <c r="BM152" i="13"/>
  <c r="BP152" i="13"/>
  <c r="BN152" i="13"/>
  <c r="BJ152" i="13"/>
  <c r="BC152" i="13"/>
  <c r="BP80" i="14"/>
  <c r="BE80" i="14"/>
  <c r="BH80" i="14"/>
  <c r="DK80" i="14" s="1"/>
  <c r="BL80" i="14"/>
  <c r="DM80" i="14" s="1"/>
  <c r="BK80" i="14"/>
  <c r="BD80" i="14"/>
  <c r="DJ80" i="14" s="1"/>
  <c r="BO80" i="14"/>
  <c r="BJ80" i="14"/>
  <c r="BG80" i="14"/>
  <c r="BC80" i="14"/>
  <c r="BN80" i="14"/>
  <c r="BI80" i="14"/>
  <c r="DL80" i="14" s="1"/>
  <c r="BM80" i="14"/>
  <c r="BF80" i="14"/>
  <c r="BH158" i="13"/>
  <c r="DK158" i="13" s="1"/>
  <c r="BL158" i="13"/>
  <c r="DM158" i="13" s="1"/>
  <c r="BP158" i="13"/>
  <c r="BE158" i="13"/>
  <c r="BI158" i="13"/>
  <c r="DL158" i="13" s="1"/>
  <c r="BM158" i="13"/>
  <c r="BG158" i="13"/>
  <c r="BJ158" i="13"/>
  <c r="BN158" i="13"/>
  <c r="BF158" i="13"/>
  <c r="BC158" i="13"/>
  <c r="BK158" i="13"/>
  <c r="BD158" i="13"/>
  <c r="DJ158" i="13" s="1"/>
  <c r="BO158" i="13"/>
  <c r="BG62" i="12"/>
  <c r="BO62" i="12"/>
  <c r="BH62" i="12"/>
  <c r="DK62" i="12" s="1"/>
  <c r="BP62" i="12"/>
  <c r="BI62" i="12"/>
  <c r="DL62" i="12" s="1"/>
  <c r="BJ62" i="12"/>
  <c r="BC62" i="12"/>
  <c r="BK62" i="12"/>
  <c r="BD62" i="12"/>
  <c r="DJ62" i="12" s="1"/>
  <c r="BL62" i="12"/>
  <c r="DM62" i="12" s="1"/>
  <c r="BE62" i="12"/>
  <c r="BM62" i="12"/>
  <c r="BF62" i="12"/>
  <c r="BN62" i="12"/>
  <c r="BE63" i="12"/>
  <c r="BM63" i="12"/>
  <c r="BF63" i="12"/>
  <c r="BC63" i="12"/>
  <c r="BN63" i="12"/>
  <c r="BK63" i="12"/>
  <c r="BG63" i="12"/>
  <c r="BD63" i="12"/>
  <c r="DJ63" i="12" s="1"/>
  <c r="BO63" i="12"/>
  <c r="BL63" i="12"/>
  <c r="DM63" i="12" s="1"/>
  <c r="BH63" i="12"/>
  <c r="DK63" i="12" s="1"/>
  <c r="BP63" i="12"/>
  <c r="BI63" i="12"/>
  <c r="DL63" i="12" s="1"/>
  <c r="BJ63" i="12"/>
  <c r="BM105" i="13"/>
  <c r="BE105" i="13"/>
  <c r="BF105" i="13"/>
  <c r="BN105" i="13"/>
  <c r="BI105" i="13"/>
  <c r="DL105" i="13" s="1"/>
  <c r="BG105" i="13"/>
  <c r="BK105" i="13"/>
  <c r="BH105" i="13"/>
  <c r="DK105" i="13" s="1"/>
  <c r="BD105" i="13"/>
  <c r="DJ105" i="13" s="1"/>
  <c r="BP105" i="13"/>
  <c r="BC105" i="13"/>
  <c r="BL105" i="13"/>
  <c r="DM105" i="13" s="1"/>
  <c r="BO105" i="13"/>
  <c r="BJ105" i="13"/>
  <c r="BL112" i="13"/>
  <c r="DM112" i="13" s="1"/>
  <c r="BF112" i="13"/>
  <c r="BD112" i="13"/>
  <c r="DJ112" i="13" s="1"/>
  <c r="BM112" i="13"/>
  <c r="BC112" i="13"/>
  <c r="BG112" i="13"/>
  <c r="BK112" i="13"/>
  <c r="BP112" i="13"/>
  <c r="BH112" i="13"/>
  <c r="DK112" i="13" s="1"/>
  <c r="BN112" i="13"/>
  <c r="BO112" i="13"/>
  <c r="BE112" i="13"/>
  <c r="BI112" i="13"/>
  <c r="DL112" i="13" s="1"/>
  <c r="BJ112" i="13"/>
  <c r="BJ103" i="13"/>
  <c r="BO103" i="13"/>
  <c r="BD103" i="13"/>
  <c r="DJ103" i="13" s="1"/>
  <c r="BH103" i="13"/>
  <c r="DK103" i="13" s="1"/>
  <c r="BL103" i="13"/>
  <c r="DM103" i="13" s="1"/>
  <c r="BP103" i="13"/>
  <c r="BE103" i="13"/>
  <c r="BI103" i="13"/>
  <c r="DL103" i="13" s="1"/>
  <c r="BM103" i="13"/>
  <c r="BC103" i="13"/>
  <c r="BF103" i="13"/>
  <c r="BK103" i="13"/>
  <c r="BG103" i="13"/>
  <c r="BN103" i="13"/>
  <c r="G101" i="12"/>
  <c r="CC100" i="12"/>
  <c r="CD100" i="12"/>
  <c r="BZ100" i="12"/>
  <c r="DQ100" i="12" s="1"/>
  <c r="CA100" i="12"/>
  <c r="BT100" i="12"/>
  <c r="BU100" i="12"/>
  <c r="BV100" i="12"/>
  <c r="DO100" i="12" s="1"/>
  <c r="BR100" i="12"/>
  <c r="DN100" i="12" s="1"/>
  <c r="BQ100" i="12"/>
  <c r="BS100" i="12"/>
  <c r="CB100" i="12"/>
  <c r="BY100" i="12"/>
  <c r="BX100" i="12"/>
  <c r="BW100" i="12"/>
  <c r="DP100" i="12" s="1"/>
  <c r="CB94" i="12"/>
  <c r="BX94" i="12"/>
  <c r="BS94" i="12"/>
  <c r="BT94" i="12"/>
  <c r="CA94" i="12"/>
  <c r="BU94" i="12"/>
  <c r="CC94" i="12"/>
  <c r="BR94" i="12"/>
  <c r="DN94" i="12" s="1"/>
  <c r="BV94" i="12"/>
  <c r="DO94" i="12" s="1"/>
  <c r="BQ94" i="12"/>
  <c r="BZ94" i="12"/>
  <c r="DQ94" i="12" s="1"/>
  <c r="CD94" i="12"/>
  <c r="BW94" i="12"/>
  <c r="DP94" i="12" s="1"/>
  <c r="BY94" i="12"/>
  <c r="BX156" i="13"/>
  <c r="BT156" i="13"/>
  <c r="BQ156" i="13"/>
  <c r="CB156" i="13"/>
  <c r="BY156" i="13"/>
  <c r="BU156" i="13"/>
  <c r="BZ156" i="13"/>
  <c r="DQ156" i="13" s="1"/>
  <c r="BV156" i="13"/>
  <c r="DO156" i="13" s="1"/>
  <c r="BS156" i="13"/>
  <c r="CD156" i="13"/>
  <c r="BW156" i="13"/>
  <c r="DP156" i="13" s="1"/>
  <c r="CC156" i="13"/>
  <c r="BR156" i="13"/>
  <c r="DN156" i="13" s="1"/>
  <c r="CA156" i="13"/>
  <c r="CC83" i="14"/>
  <c r="CD83" i="14"/>
  <c r="BU83" i="14"/>
  <c r="BV83" i="14"/>
  <c r="DO83" i="14" s="1"/>
  <c r="BR83" i="14"/>
  <c r="DN83" i="14" s="1"/>
  <c r="BT83" i="14"/>
  <c r="BY83" i="14"/>
  <c r="CA83" i="14"/>
  <c r="BX83" i="14"/>
  <c r="BZ83" i="14"/>
  <c r="DQ83" i="14" s="1"/>
  <c r="BQ83" i="14"/>
  <c r="BW83" i="14"/>
  <c r="DP83" i="14" s="1"/>
  <c r="CB83" i="14"/>
  <c r="BS83" i="14"/>
  <c r="AA66" i="12"/>
  <c r="AH66" i="12"/>
  <c r="AC66" i="12"/>
  <c r="AM66" i="12"/>
  <c r="AG66" i="12"/>
  <c r="DD66" i="12" s="1"/>
  <c r="AE66" i="12"/>
  <c r="AK66" i="12"/>
  <c r="AN66" i="12"/>
  <c r="AL66" i="12"/>
  <c r="AI66" i="12"/>
  <c r="AF66" i="12"/>
  <c r="DC66" i="12" s="1"/>
  <c r="AD66" i="12"/>
  <c r="AJ66" i="12"/>
  <c r="DE66" i="12" s="1"/>
  <c r="AB66" i="12"/>
  <c r="DB66" i="12" s="1"/>
  <c r="AH70" i="12"/>
  <c r="AD70" i="12"/>
  <c r="AC70" i="12"/>
  <c r="AL70" i="12"/>
  <c r="AF70" i="12"/>
  <c r="DC70" i="12" s="1"/>
  <c r="AK70" i="12"/>
  <c r="AN70" i="12"/>
  <c r="AA70" i="12"/>
  <c r="AI70" i="12"/>
  <c r="AB70" i="12"/>
  <c r="DB70" i="12" s="1"/>
  <c r="AJ70" i="12"/>
  <c r="DE70" i="12" s="1"/>
  <c r="AE70" i="12"/>
  <c r="AM70" i="12"/>
  <c r="AG70" i="12"/>
  <c r="DD70" i="12" s="1"/>
  <c r="AM17" i="15"/>
  <c r="AA17" i="15"/>
  <c r="AF17" i="15"/>
  <c r="DC17" i="15" s="1"/>
  <c r="AG17" i="15"/>
  <c r="DD17" i="15" s="1"/>
  <c r="AE17" i="15"/>
  <c r="AK17" i="15"/>
  <c r="AH17" i="15"/>
  <c r="AC17" i="15"/>
  <c r="AI17" i="15"/>
  <c r="AD17" i="15"/>
  <c r="AB17" i="15"/>
  <c r="DB17" i="15" s="1"/>
  <c r="AN17" i="15"/>
  <c r="AJ17" i="15"/>
  <c r="DE17" i="15" s="1"/>
  <c r="AL17" i="15"/>
  <c r="AO67" i="12"/>
  <c r="AQ67" i="12"/>
  <c r="AX67" i="12"/>
  <c r="DI67" i="12" s="1"/>
  <c r="AU67" i="12"/>
  <c r="DH67" i="12" s="1"/>
  <c r="BB67" i="12"/>
  <c r="AY67" i="12"/>
  <c r="AV67" i="12"/>
  <c r="AP67" i="12"/>
  <c r="DF67" i="12" s="1"/>
  <c r="AS67" i="12"/>
  <c r="BA67" i="12"/>
  <c r="AT67" i="12"/>
  <c r="DG67" i="12" s="1"/>
  <c r="AR67" i="12"/>
  <c r="AZ67" i="12"/>
  <c r="AW67" i="12"/>
  <c r="AS73" i="12"/>
  <c r="BB73" i="12"/>
  <c r="AU73" i="12"/>
  <c r="DH73" i="12" s="1"/>
  <c r="BA73" i="12"/>
  <c r="AP73" i="12"/>
  <c r="DF73" i="12" s="1"/>
  <c r="AR73" i="12"/>
  <c r="AO73" i="12"/>
  <c r="AZ73" i="12"/>
  <c r="AW73" i="12"/>
  <c r="AV73" i="12"/>
  <c r="AY73" i="12"/>
  <c r="AQ73" i="12"/>
  <c r="AX73" i="12"/>
  <c r="DI73" i="12" s="1"/>
  <c r="AT73" i="12"/>
  <c r="DG73" i="12" s="1"/>
  <c r="AZ97" i="12"/>
  <c r="AR97" i="12"/>
  <c r="AV97" i="12"/>
  <c r="AT97" i="12"/>
  <c r="DG97" i="12" s="1"/>
  <c r="AP97" i="12"/>
  <c r="DF97" i="12" s="1"/>
  <c r="AS97" i="12"/>
  <c r="BB97" i="12"/>
  <c r="AX97" i="12"/>
  <c r="DI97" i="12" s="1"/>
  <c r="AQ97" i="12"/>
  <c r="BA97" i="12"/>
  <c r="AY97" i="12"/>
  <c r="AO97" i="12"/>
  <c r="AU97" i="12"/>
  <c r="DH97" i="12" s="1"/>
  <c r="AW97" i="12"/>
  <c r="AT83" i="14"/>
  <c r="DG83" i="14" s="1"/>
  <c r="AX83" i="14"/>
  <c r="DI83" i="14" s="1"/>
  <c r="BA83" i="14"/>
  <c r="AP83" i="14"/>
  <c r="DF83" i="14" s="1"/>
  <c r="AS83" i="14"/>
  <c r="AV83" i="14"/>
  <c r="AZ83" i="14"/>
  <c r="AR83" i="14"/>
  <c r="AU83" i="14"/>
  <c r="DH83" i="14" s="1"/>
  <c r="AO83" i="14"/>
  <c r="BB83" i="14"/>
  <c r="AQ83" i="14"/>
  <c r="AW83" i="14"/>
  <c r="AY83" i="14"/>
  <c r="O64" i="12"/>
  <c r="V64" i="12"/>
  <c r="T64" i="12"/>
  <c r="X64" i="12"/>
  <c r="U64" i="12"/>
  <c r="Q64" i="12"/>
  <c r="Y64" i="12"/>
  <c r="N64" i="12"/>
  <c r="M64" i="12"/>
  <c r="P64" i="12"/>
  <c r="W64" i="12"/>
  <c r="R64" i="12"/>
  <c r="S64" i="12"/>
  <c r="Z64" i="12"/>
  <c r="P114" i="13"/>
  <c r="O114" i="13"/>
  <c r="X114" i="13"/>
  <c r="W114" i="13"/>
  <c r="Q114" i="13"/>
  <c r="M114" i="13"/>
  <c r="Y114" i="13"/>
  <c r="N114" i="13"/>
  <c r="R114" i="13"/>
  <c r="U114" i="13"/>
  <c r="Z114" i="13"/>
  <c r="V114" i="13"/>
  <c r="T114" i="13"/>
  <c r="S114" i="13"/>
  <c r="T108" i="13"/>
  <c r="M108" i="13"/>
  <c r="N108" i="13"/>
  <c r="P108" i="13"/>
  <c r="V108" i="13"/>
  <c r="O108" i="13"/>
  <c r="R108" i="13"/>
  <c r="U108" i="13"/>
  <c r="Q108" i="13"/>
  <c r="W108" i="13"/>
  <c r="S108" i="13"/>
  <c r="X108" i="13"/>
  <c r="Y108" i="13"/>
  <c r="Z108" i="13"/>
  <c r="M37" i="14"/>
  <c r="X37" i="14"/>
  <c r="W37" i="14"/>
  <c r="V37" i="14"/>
  <c r="Y37" i="14"/>
  <c r="N37" i="14"/>
  <c r="Q37" i="14"/>
  <c r="O37" i="14"/>
  <c r="Z37" i="14"/>
  <c r="T37" i="14"/>
  <c r="S37" i="14"/>
  <c r="R37" i="14"/>
  <c r="U37" i="14"/>
  <c r="P37" i="14"/>
  <c r="BL91" i="12"/>
  <c r="DM91" i="12" s="1"/>
  <c r="BK91" i="12"/>
  <c r="BJ91" i="12"/>
  <c r="BG91" i="12"/>
  <c r="BF91" i="12"/>
  <c r="BO91" i="12"/>
  <c r="BE91" i="12"/>
  <c r="BI91" i="12"/>
  <c r="DL91" i="12" s="1"/>
  <c r="BN91" i="12"/>
  <c r="BD91" i="12"/>
  <c r="DJ91" i="12" s="1"/>
  <c r="BM91" i="12"/>
  <c r="BC91" i="12"/>
  <c r="BH91" i="12"/>
  <c r="DK91" i="12" s="1"/>
  <c r="BP91" i="12"/>
  <c r="BK89" i="12"/>
  <c r="BL89" i="12"/>
  <c r="DM89" i="12" s="1"/>
  <c r="BI89" i="12"/>
  <c r="DL89" i="12" s="1"/>
  <c r="BF89" i="12"/>
  <c r="BG89" i="12"/>
  <c r="BH89" i="12"/>
  <c r="DK89" i="12" s="1"/>
  <c r="BE89" i="12"/>
  <c r="BN89" i="12"/>
  <c r="BO89" i="12"/>
  <c r="BP89" i="12"/>
  <c r="BM89" i="12"/>
  <c r="BC89" i="12"/>
  <c r="BD89" i="12"/>
  <c r="DJ89" i="12" s="1"/>
  <c r="BJ89" i="12"/>
  <c r="BJ81" i="14"/>
  <c r="BF81" i="14"/>
  <c r="BI81" i="14"/>
  <c r="DL81" i="14" s="1"/>
  <c r="BE81" i="14"/>
  <c r="BM81" i="14"/>
  <c r="BL81" i="14"/>
  <c r="DM81" i="14" s="1"/>
  <c r="BP81" i="14"/>
  <c r="BD81" i="14"/>
  <c r="DJ81" i="14" s="1"/>
  <c r="BH81" i="14"/>
  <c r="DK81" i="14" s="1"/>
  <c r="BO81" i="14"/>
  <c r="BC81" i="14"/>
  <c r="BN81" i="14"/>
  <c r="BK81" i="14"/>
  <c r="BG81" i="14"/>
  <c r="BI84" i="14"/>
  <c r="DL84" i="14" s="1"/>
  <c r="BF84" i="14"/>
  <c r="BC84" i="14"/>
  <c r="BM84" i="14"/>
  <c r="BP84" i="14"/>
  <c r="BE84" i="14"/>
  <c r="BH84" i="14"/>
  <c r="DK84" i="14" s="1"/>
  <c r="BL84" i="14"/>
  <c r="DM84" i="14" s="1"/>
  <c r="BO84" i="14"/>
  <c r="BD84" i="14"/>
  <c r="DJ84" i="14" s="1"/>
  <c r="BK84" i="14"/>
  <c r="BN84" i="14"/>
  <c r="BG84" i="14"/>
  <c r="BJ84" i="14"/>
  <c r="BE79" i="14"/>
  <c r="BH79" i="14"/>
  <c r="DK79" i="14" s="1"/>
  <c r="BL79" i="14"/>
  <c r="DM79" i="14" s="1"/>
  <c r="BD79" i="14"/>
  <c r="DJ79" i="14" s="1"/>
  <c r="BO79" i="14"/>
  <c r="BI79" i="14"/>
  <c r="DL79" i="14" s="1"/>
  <c r="BG79" i="14"/>
  <c r="BK79" i="14"/>
  <c r="BN79" i="14"/>
  <c r="BC79" i="14"/>
  <c r="BM79" i="14"/>
  <c r="BP79" i="14"/>
  <c r="BJ79" i="14"/>
  <c r="BF79" i="14"/>
  <c r="BL149" i="13"/>
  <c r="DM149" i="13" s="1"/>
  <c r="BO149" i="13"/>
  <c r="BE149" i="13"/>
  <c r="BF149" i="13"/>
  <c r="BM149" i="13"/>
  <c r="BH149" i="13"/>
  <c r="DK149" i="13" s="1"/>
  <c r="BJ149" i="13"/>
  <c r="BP149" i="13"/>
  <c r="BC149" i="13"/>
  <c r="BG149" i="13"/>
  <c r="BD149" i="13"/>
  <c r="DJ149" i="13" s="1"/>
  <c r="BN149" i="13"/>
  <c r="BK149" i="13"/>
  <c r="BI149" i="13"/>
  <c r="DL149" i="13" s="1"/>
  <c r="BJ65" i="12"/>
  <c r="BO65" i="12"/>
  <c r="BE65" i="12"/>
  <c r="BF65" i="12"/>
  <c r="BP65" i="12"/>
  <c r="BG65" i="12"/>
  <c r="BN65" i="12"/>
  <c r="BL65" i="12"/>
  <c r="DM65" i="12" s="1"/>
  <c r="BH65" i="12"/>
  <c r="DK65" i="12" s="1"/>
  <c r="BM65" i="12"/>
  <c r="BD65" i="12"/>
  <c r="DJ65" i="12" s="1"/>
  <c r="BK65" i="12"/>
  <c r="BI65" i="12"/>
  <c r="DL65" i="12" s="1"/>
  <c r="BC65" i="12"/>
  <c r="BE73" i="12"/>
  <c r="BG73" i="12"/>
  <c r="BD73" i="12"/>
  <c r="DJ73" i="12" s="1"/>
  <c r="BN73" i="12"/>
  <c r="BJ73" i="12"/>
  <c r="BH73" i="12"/>
  <c r="DK73" i="12" s="1"/>
  <c r="BP73" i="12"/>
  <c r="BO73" i="12"/>
  <c r="BC73" i="12"/>
  <c r="BF73" i="12"/>
  <c r="BI73" i="12"/>
  <c r="DL73" i="12" s="1"/>
  <c r="BL73" i="12"/>
  <c r="DM73" i="12" s="1"/>
  <c r="BM73" i="12"/>
  <c r="BK73" i="12"/>
  <c r="BE110" i="13"/>
  <c r="BM110" i="13"/>
  <c r="BI110" i="13"/>
  <c r="DL110" i="13" s="1"/>
  <c r="BF110" i="13"/>
  <c r="BJ110" i="13"/>
  <c r="BN110" i="13"/>
  <c r="BC110" i="13"/>
  <c r="BG110" i="13"/>
  <c r="BK110" i="13"/>
  <c r="BH110" i="13"/>
  <c r="DK110" i="13" s="1"/>
  <c r="BL110" i="13"/>
  <c r="DM110" i="13" s="1"/>
  <c r="BP110" i="13"/>
  <c r="BD110" i="13"/>
  <c r="DJ110" i="13" s="1"/>
  <c r="BO110" i="13"/>
  <c r="BG109" i="13"/>
  <c r="BC109" i="13"/>
  <c r="BO109" i="13"/>
  <c r="BK109" i="13"/>
  <c r="BH109" i="13"/>
  <c r="DK109" i="13" s="1"/>
  <c r="BP109" i="13"/>
  <c r="BE109" i="13"/>
  <c r="BI109" i="13"/>
  <c r="DL109" i="13" s="1"/>
  <c r="BM109" i="13"/>
  <c r="BJ109" i="13"/>
  <c r="BN109" i="13"/>
  <c r="BL109" i="13"/>
  <c r="DM109" i="13" s="1"/>
  <c r="BF109" i="13"/>
  <c r="BD109" i="13"/>
  <c r="DJ109" i="13" s="1"/>
  <c r="BF107" i="13"/>
  <c r="BH107" i="13"/>
  <c r="DK107" i="13" s="1"/>
  <c r="BN107" i="13"/>
  <c r="BM107" i="13"/>
  <c r="BI107" i="13"/>
  <c r="DL107" i="13" s="1"/>
  <c r="BO107" i="13"/>
  <c r="BC107" i="13"/>
  <c r="BP107" i="13"/>
  <c r="BK107" i="13"/>
  <c r="BE107" i="13"/>
  <c r="BG107" i="13"/>
  <c r="BJ107" i="13"/>
  <c r="BD107" i="13"/>
  <c r="DJ107" i="13" s="1"/>
  <c r="BL107" i="13"/>
  <c r="DM107" i="13" s="1"/>
  <c r="BZ95" i="12"/>
  <c r="DQ95" i="12" s="1"/>
  <c r="CB95" i="12"/>
  <c r="BW95" i="12"/>
  <c r="DP95" i="12" s="1"/>
  <c r="CA95" i="12"/>
  <c r="BV95" i="12"/>
  <c r="DO95" i="12" s="1"/>
  <c r="BR95" i="12"/>
  <c r="DN95" i="12" s="1"/>
  <c r="CD95" i="12"/>
  <c r="BQ95" i="12"/>
  <c r="BY95" i="12"/>
  <c r="BU95" i="12"/>
  <c r="BS95" i="12"/>
  <c r="CC95" i="12"/>
  <c r="BT95" i="12"/>
  <c r="BX95" i="12"/>
  <c r="CD92" i="12"/>
  <c r="BV92" i="12"/>
  <c r="DO92" i="12" s="1"/>
  <c r="CC92" i="12"/>
  <c r="BU92" i="12"/>
  <c r="CB92" i="12"/>
  <c r="BT92" i="12"/>
  <c r="CA92" i="12"/>
  <c r="BS92" i="12"/>
  <c r="BZ92" i="12"/>
  <c r="DQ92" i="12" s="1"/>
  <c r="BR92" i="12"/>
  <c r="DN92" i="12" s="1"/>
  <c r="BY92" i="12"/>
  <c r="BQ92" i="12"/>
  <c r="BX92" i="12"/>
  <c r="BW92" i="12"/>
  <c r="DP92" i="12" s="1"/>
  <c r="AG67" i="12"/>
  <c r="DD67" i="12" s="1"/>
  <c r="AC67" i="12"/>
  <c r="AA67" i="12"/>
  <c r="AE67" i="12"/>
  <c r="AF67" i="12"/>
  <c r="DC67" i="12" s="1"/>
  <c r="AK67" i="12"/>
  <c r="AM67" i="12"/>
  <c r="AI67" i="12"/>
  <c r="AN67" i="12"/>
  <c r="AL67" i="12"/>
  <c r="AJ67" i="12"/>
  <c r="DE67" i="12" s="1"/>
  <c r="AD67" i="12"/>
  <c r="AB67" i="12"/>
  <c r="DB67" i="12" s="1"/>
  <c r="AH67" i="12"/>
  <c r="AG69" i="12"/>
  <c r="DD69" i="12" s="1"/>
  <c r="AL69" i="12"/>
  <c r="AA69" i="12"/>
  <c r="AK69" i="12"/>
  <c r="AH69" i="12"/>
  <c r="AF69" i="12"/>
  <c r="DC69" i="12" s="1"/>
  <c r="AC69" i="12"/>
  <c r="AN69" i="12"/>
  <c r="AM69" i="12"/>
  <c r="AE69" i="12"/>
  <c r="AD69" i="12"/>
  <c r="AB69" i="12"/>
  <c r="DB69" i="12" s="1"/>
  <c r="AJ69" i="12"/>
  <c r="DE69" i="12" s="1"/>
  <c r="AI69" i="12"/>
  <c r="AE37" i="14"/>
  <c r="AM37" i="14"/>
  <c r="AD37" i="14"/>
  <c r="AF37" i="14"/>
  <c r="DC37" i="14" s="1"/>
  <c r="AG37" i="14"/>
  <c r="DD37" i="14" s="1"/>
  <c r="AH37" i="14"/>
  <c r="AA37" i="14"/>
  <c r="AK37" i="14"/>
  <c r="AL37" i="14"/>
  <c r="AN37" i="14"/>
  <c r="AI37" i="14"/>
  <c r="AB37" i="14"/>
  <c r="DB37" i="14" s="1"/>
  <c r="AC37" i="14"/>
  <c r="AJ37" i="14"/>
  <c r="DE37" i="14" s="1"/>
  <c r="AH104" i="13"/>
  <c r="AM104" i="13"/>
  <c r="AB104" i="13"/>
  <c r="DB104" i="13" s="1"/>
  <c r="AF104" i="13"/>
  <c r="DC104" i="13" s="1"/>
  <c r="AJ104" i="13"/>
  <c r="DE104" i="13" s="1"/>
  <c r="AN104" i="13"/>
  <c r="AC104" i="13"/>
  <c r="AG104" i="13"/>
  <c r="DD104" i="13" s="1"/>
  <c r="AK104" i="13"/>
  <c r="AA104" i="13"/>
  <c r="AD104" i="13"/>
  <c r="AI104" i="13"/>
  <c r="AE104" i="13"/>
  <c r="AL104" i="13"/>
  <c r="AH106" i="13"/>
  <c r="AL106" i="13"/>
  <c r="AA106" i="13"/>
  <c r="AE106" i="13"/>
  <c r="AI106" i="13"/>
  <c r="AM106" i="13"/>
  <c r="AB106" i="13"/>
  <c r="DB106" i="13" s="1"/>
  <c r="AG106" i="13"/>
  <c r="DD106" i="13" s="1"/>
  <c r="AC106" i="13"/>
  <c r="AF106" i="13"/>
  <c r="DC106" i="13" s="1"/>
  <c r="AK106" i="13"/>
  <c r="AN106" i="13"/>
  <c r="AJ106" i="13"/>
  <c r="DE106" i="13" s="1"/>
  <c r="AD106" i="13"/>
  <c r="AR70" i="12"/>
  <c r="AU70" i="12"/>
  <c r="DH70" i="12" s="1"/>
  <c r="AP70" i="12"/>
  <c r="DF70" i="12" s="1"/>
  <c r="BB70" i="12"/>
  <c r="AX70" i="12"/>
  <c r="DI70" i="12" s="1"/>
  <c r="BA70" i="12"/>
  <c r="AV70" i="12"/>
  <c r="AS70" i="12"/>
  <c r="AZ70" i="12"/>
  <c r="AW70" i="12"/>
  <c r="AY70" i="12"/>
  <c r="AT70" i="12"/>
  <c r="DG70" i="12" s="1"/>
  <c r="AQ70" i="12"/>
  <c r="AO70" i="12"/>
  <c r="AU68" i="12"/>
  <c r="DH68" i="12" s="1"/>
  <c r="BB68" i="12"/>
  <c r="BA68" i="12"/>
  <c r="AO68" i="12"/>
  <c r="AS68" i="12"/>
  <c r="AQ68" i="12"/>
  <c r="AW68" i="12"/>
  <c r="AT68" i="12"/>
  <c r="DG68" i="12" s="1"/>
  <c r="AY68" i="12"/>
  <c r="AZ68" i="12"/>
  <c r="AR68" i="12"/>
  <c r="AX68" i="12"/>
  <c r="DI68" i="12" s="1"/>
  <c r="AP68" i="12"/>
  <c r="DF68" i="12" s="1"/>
  <c r="AV68" i="12"/>
  <c r="AX109" i="13"/>
  <c r="DI109" i="13" s="1"/>
  <c r="BB109" i="13"/>
  <c r="AQ109" i="13"/>
  <c r="AV109" i="13"/>
  <c r="AY109" i="13"/>
  <c r="AU109" i="13"/>
  <c r="DH109" i="13" s="1"/>
  <c r="AR109" i="13"/>
  <c r="AZ109" i="13"/>
  <c r="AW109" i="13"/>
  <c r="BA109" i="13"/>
  <c r="AO109" i="13"/>
  <c r="AP109" i="13"/>
  <c r="DF109" i="13" s="1"/>
  <c r="AS109" i="13"/>
  <c r="AT109" i="13"/>
  <c r="DG109" i="13" s="1"/>
  <c r="AZ111" i="13"/>
  <c r="AO111" i="13"/>
  <c r="AS111" i="13"/>
  <c r="AW111" i="13"/>
  <c r="BA111" i="13"/>
  <c r="AP111" i="13"/>
  <c r="DF111" i="13" s="1"/>
  <c r="AT111" i="13"/>
  <c r="DG111" i="13" s="1"/>
  <c r="AX111" i="13"/>
  <c r="DI111" i="13" s="1"/>
  <c r="AU111" i="13"/>
  <c r="DH111" i="13" s="1"/>
  <c r="AQ111" i="13"/>
  <c r="AV111" i="13"/>
  <c r="BB111" i="13"/>
  <c r="AY111" i="13"/>
  <c r="AR111" i="13"/>
  <c r="E101" i="12"/>
  <c r="AP100" i="12"/>
  <c r="DF100" i="12" s="1"/>
  <c r="AW100" i="12"/>
  <c r="AZ100" i="12"/>
  <c r="BA100" i="12"/>
  <c r="AV100" i="12"/>
  <c r="AQ100" i="12"/>
  <c r="AT100" i="12"/>
  <c r="DG100" i="12" s="1"/>
  <c r="BB100" i="12"/>
  <c r="AR100" i="12"/>
  <c r="AS100" i="12"/>
  <c r="AX100" i="12"/>
  <c r="DI100" i="12" s="1"/>
  <c r="AO100" i="12"/>
  <c r="AY100" i="12"/>
  <c r="AU100" i="12"/>
  <c r="DH100" i="12" s="1"/>
  <c r="AR92" i="12"/>
  <c r="AY92" i="12"/>
  <c r="AZ92" i="12"/>
  <c r="AS92" i="12"/>
  <c r="BA92" i="12"/>
  <c r="AO92" i="12"/>
  <c r="AW92" i="12"/>
  <c r="AP92" i="12"/>
  <c r="DF92" i="12" s="1"/>
  <c r="AQ92" i="12"/>
  <c r="AX92" i="12"/>
  <c r="DI92" i="12" s="1"/>
  <c r="AT92" i="12"/>
  <c r="DG92" i="12" s="1"/>
  <c r="AU92" i="12"/>
  <c r="DH92" i="12" s="1"/>
  <c r="BB92" i="12"/>
  <c r="AV92" i="12"/>
  <c r="AU60" i="15"/>
  <c r="DH60" i="15" s="1"/>
  <c r="BB60" i="15"/>
  <c r="AT60" i="15"/>
  <c r="DG60" i="15" s="1"/>
  <c r="BA60" i="15"/>
  <c r="AS60" i="15"/>
  <c r="AO60" i="15"/>
  <c r="AZ60" i="15"/>
  <c r="AR60" i="15"/>
  <c r="AY60" i="15"/>
  <c r="AQ60" i="15"/>
  <c r="AX60" i="15"/>
  <c r="DI60" i="15" s="1"/>
  <c r="AP60" i="15"/>
  <c r="DF60" i="15" s="1"/>
  <c r="AV60" i="15"/>
  <c r="AW60" i="15"/>
  <c r="O67" i="12"/>
  <c r="W67" i="12"/>
  <c r="T67" i="12"/>
  <c r="P67" i="12"/>
  <c r="M67" i="12"/>
  <c r="X67" i="12"/>
  <c r="U67" i="12"/>
  <c r="Q67" i="12"/>
  <c r="N67" i="12"/>
  <c r="Y67" i="12"/>
  <c r="V67" i="12"/>
  <c r="R67" i="12"/>
  <c r="Z67" i="12"/>
  <c r="S67" i="12"/>
  <c r="Q72" i="12"/>
  <c r="W72" i="12"/>
  <c r="N72" i="12"/>
  <c r="O72" i="12"/>
  <c r="P72" i="12"/>
  <c r="V72" i="12"/>
  <c r="X72" i="12"/>
  <c r="R72" i="12"/>
  <c r="U72" i="12"/>
  <c r="M72" i="12"/>
  <c r="T72" i="12"/>
  <c r="S72" i="12"/>
  <c r="Y72" i="12"/>
  <c r="Z72" i="12"/>
  <c r="Z104" i="13"/>
  <c r="P104" i="13"/>
  <c r="T104" i="13"/>
  <c r="X104" i="13"/>
  <c r="M104" i="13"/>
  <c r="Q104" i="13"/>
  <c r="U104" i="13"/>
  <c r="Y104" i="13"/>
  <c r="N104" i="13"/>
  <c r="S104" i="13"/>
  <c r="O104" i="13"/>
  <c r="V104" i="13"/>
  <c r="W104" i="13"/>
  <c r="R104" i="13"/>
  <c r="R41" i="14"/>
  <c r="N41" i="14"/>
  <c r="M41" i="14"/>
  <c r="V41" i="14"/>
  <c r="Y41" i="14"/>
  <c r="U41" i="14"/>
  <c r="Z41" i="14"/>
  <c r="O41" i="14"/>
  <c r="W41" i="14"/>
  <c r="P41" i="14"/>
  <c r="X41" i="14"/>
  <c r="Q41" i="14"/>
  <c r="T41" i="14"/>
  <c r="S41" i="14"/>
  <c r="BP99" i="12"/>
  <c r="BN99" i="12"/>
  <c r="BJ99" i="12"/>
  <c r="BI99" i="12"/>
  <c r="DL99" i="12" s="1"/>
  <c r="BH99" i="12"/>
  <c r="DK99" i="12" s="1"/>
  <c r="BK99" i="12"/>
  <c r="BF99" i="12"/>
  <c r="BG99" i="12"/>
  <c r="BE99" i="12"/>
  <c r="BO99" i="12"/>
  <c r="BM99" i="12"/>
  <c r="BD99" i="12"/>
  <c r="DJ99" i="12" s="1"/>
  <c r="BL99" i="12"/>
  <c r="DM99" i="12" s="1"/>
  <c r="BC99" i="12"/>
  <c r="BN98" i="12"/>
  <c r="BG98" i="12"/>
  <c r="BH98" i="12"/>
  <c r="DK98" i="12" s="1"/>
  <c r="BI98" i="12"/>
  <c r="DL98" i="12" s="1"/>
  <c r="BF98" i="12"/>
  <c r="BP98" i="12"/>
  <c r="BJ98" i="12"/>
  <c r="BO98" i="12"/>
  <c r="BC98" i="12"/>
  <c r="BK98" i="12"/>
  <c r="BD98" i="12"/>
  <c r="DJ98" i="12" s="1"/>
  <c r="BE98" i="12"/>
  <c r="BL98" i="12"/>
  <c r="DM98" i="12" s="1"/>
  <c r="BM98" i="12"/>
  <c r="BI156" i="13"/>
  <c r="DL156" i="13" s="1"/>
  <c r="BM156" i="13"/>
  <c r="BJ156" i="13"/>
  <c r="BF156" i="13"/>
  <c r="BC156" i="13"/>
  <c r="BN156" i="13"/>
  <c r="BK156" i="13"/>
  <c r="BG156" i="13"/>
  <c r="BL156" i="13"/>
  <c r="DM156" i="13" s="1"/>
  <c r="BP156" i="13"/>
  <c r="BH156" i="13"/>
  <c r="DK156" i="13" s="1"/>
  <c r="BD156" i="13"/>
  <c r="DJ156" i="13" s="1"/>
  <c r="BE156" i="13"/>
  <c r="BO156" i="13"/>
  <c r="BO83" i="14"/>
  <c r="BD83" i="14"/>
  <c r="DJ83" i="14" s="1"/>
  <c r="BG83" i="14"/>
  <c r="BK83" i="14"/>
  <c r="BF83" i="14"/>
  <c r="BJ83" i="14"/>
  <c r="BM83" i="14"/>
  <c r="BP83" i="14"/>
  <c r="BI83" i="14"/>
  <c r="DL83" i="14" s="1"/>
  <c r="BN83" i="14"/>
  <c r="BE83" i="14"/>
  <c r="BL83" i="14"/>
  <c r="DM83" i="14" s="1"/>
  <c r="BC83" i="14"/>
  <c r="BH83" i="14"/>
  <c r="DK83" i="14" s="1"/>
  <c r="BD153" i="13"/>
  <c r="DJ153" i="13" s="1"/>
  <c r="BH153" i="13"/>
  <c r="DK153" i="13" s="1"/>
  <c r="BL153" i="13"/>
  <c r="DM153" i="13" s="1"/>
  <c r="BP153" i="13"/>
  <c r="BE153" i="13"/>
  <c r="BI153" i="13"/>
  <c r="DL153" i="13" s="1"/>
  <c r="BM153" i="13"/>
  <c r="BJ153" i="13"/>
  <c r="BF153" i="13"/>
  <c r="BN153" i="13"/>
  <c r="BK153" i="13"/>
  <c r="BO153" i="13"/>
  <c r="BC153" i="13"/>
  <c r="BG153" i="13"/>
  <c r="BG71" i="12"/>
  <c r="BN71" i="12"/>
  <c r="BL71" i="12"/>
  <c r="DM71" i="12" s="1"/>
  <c r="BF71" i="12"/>
  <c r="BD71" i="12"/>
  <c r="DJ71" i="12" s="1"/>
  <c r="BM71" i="12"/>
  <c r="BE71" i="12"/>
  <c r="BJ71" i="12"/>
  <c r="BI71" i="12"/>
  <c r="DL71" i="12" s="1"/>
  <c r="BP71" i="12"/>
  <c r="BH71" i="12"/>
  <c r="DK71" i="12" s="1"/>
  <c r="BK71" i="12"/>
  <c r="BC71" i="12"/>
  <c r="BO71" i="12"/>
  <c r="BD68" i="12"/>
  <c r="DJ68" i="12" s="1"/>
  <c r="BN68" i="12"/>
  <c r="BK68" i="12"/>
  <c r="BJ68" i="12"/>
  <c r="BO68" i="12"/>
  <c r="BE68" i="12"/>
  <c r="BF68" i="12"/>
  <c r="BI68" i="12"/>
  <c r="DL68" i="12" s="1"/>
  <c r="BP68" i="12"/>
  <c r="BM68" i="12"/>
  <c r="BL68" i="12"/>
  <c r="DM68" i="12" s="1"/>
  <c r="BG68" i="12"/>
  <c r="BC68" i="12"/>
  <c r="BH68" i="12"/>
  <c r="DK68" i="12" s="1"/>
  <c r="BK37" i="14"/>
  <c r="BF37" i="14"/>
  <c r="BE37" i="14"/>
  <c r="BN37" i="14"/>
  <c r="BG37" i="14"/>
  <c r="BM37" i="14"/>
  <c r="BO37" i="14"/>
  <c r="BH37" i="14"/>
  <c r="DK37" i="14" s="1"/>
  <c r="BI37" i="14"/>
  <c r="DL37" i="14" s="1"/>
  <c r="BD37" i="14"/>
  <c r="DJ37" i="14" s="1"/>
  <c r="BL37" i="14"/>
  <c r="DM37" i="14" s="1"/>
  <c r="BC37" i="14"/>
  <c r="BJ37" i="14"/>
  <c r="BP37" i="14"/>
  <c r="BI113" i="13"/>
  <c r="DL113" i="13" s="1"/>
  <c r="BE113" i="13"/>
  <c r="BJ113" i="13"/>
  <c r="BF113" i="13"/>
  <c r="BC113" i="13"/>
  <c r="BM113" i="13"/>
  <c r="BK113" i="13"/>
  <c r="BN113" i="13"/>
  <c r="BD113" i="13"/>
  <c r="DJ113" i="13" s="1"/>
  <c r="BL113" i="13"/>
  <c r="DM113" i="13" s="1"/>
  <c r="BP113" i="13"/>
  <c r="BO113" i="13"/>
  <c r="BG113" i="13"/>
  <c r="BH113" i="13"/>
  <c r="DK113" i="13" s="1"/>
  <c r="BE111" i="13"/>
  <c r="BJ111" i="13"/>
  <c r="BM111" i="13"/>
  <c r="BK111" i="13"/>
  <c r="BF111" i="13"/>
  <c r="BL111" i="13"/>
  <c r="DM111" i="13" s="1"/>
  <c r="BN111" i="13"/>
  <c r="BP111" i="13"/>
  <c r="BG111" i="13"/>
  <c r="BD111" i="13"/>
  <c r="DJ111" i="13" s="1"/>
  <c r="BO111" i="13"/>
  <c r="BC111" i="13"/>
  <c r="BH111" i="13"/>
  <c r="DK111" i="13" s="1"/>
  <c r="BI111" i="13"/>
  <c r="DL111" i="13" s="1"/>
  <c r="I56" i="8"/>
  <c r="H73" i="12"/>
  <c r="H67" i="12"/>
  <c r="H68" i="12"/>
  <c r="H66" i="12"/>
  <c r="H72" i="12"/>
  <c r="H69" i="12"/>
  <c r="H71" i="12"/>
  <c r="H70" i="12"/>
  <c r="H65" i="12"/>
  <c r="H63" i="12"/>
  <c r="H62" i="12"/>
  <c r="H64" i="12"/>
  <c r="H74" i="12"/>
  <c r="BZ91" i="12"/>
  <c r="DQ91" i="12" s="1"/>
  <c r="BV91" i="12"/>
  <c r="DO91" i="12" s="1"/>
  <c r="BW91" i="12"/>
  <c r="DP91" i="12" s="1"/>
  <c r="BS91" i="12"/>
  <c r="CD91" i="12"/>
  <c r="BQ91" i="12"/>
  <c r="BR91" i="12"/>
  <c r="DN91" i="12" s="1"/>
  <c r="BY91" i="12"/>
  <c r="BU91" i="12"/>
  <c r="CC91" i="12"/>
  <c r="CA91" i="12"/>
  <c r="BT91" i="12"/>
  <c r="CB91" i="12"/>
  <c r="BX91" i="12"/>
  <c r="CA89" i="12"/>
  <c r="BS89" i="12"/>
  <c r="BZ89" i="12"/>
  <c r="DQ89" i="12" s="1"/>
  <c r="BQ89" i="12"/>
  <c r="BY89" i="12"/>
  <c r="BR89" i="12"/>
  <c r="DN89" i="12" s="1"/>
  <c r="BT89" i="12"/>
  <c r="BU89" i="12"/>
  <c r="BV89" i="12"/>
  <c r="DO89" i="12" s="1"/>
  <c r="CB89" i="12"/>
  <c r="CC89" i="12"/>
  <c r="CD89" i="12"/>
  <c r="BW89" i="12"/>
  <c r="DP89" i="12" s="1"/>
  <c r="BX89" i="12"/>
  <c r="BV147" i="13"/>
  <c r="DO147" i="13" s="1"/>
  <c r="CD147" i="13"/>
  <c r="BS147" i="13"/>
  <c r="BW147" i="13"/>
  <c r="DP147" i="13" s="1"/>
  <c r="CA147" i="13"/>
  <c r="BX147" i="13"/>
  <c r="BT147" i="13"/>
  <c r="BR147" i="13"/>
  <c r="DN147" i="13" s="1"/>
  <c r="CB147" i="13"/>
  <c r="BZ147" i="13"/>
  <c r="DQ147" i="13" s="1"/>
  <c r="CC147" i="13"/>
  <c r="BY147" i="13"/>
  <c r="BU147" i="13"/>
  <c r="BQ147" i="13"/>
  <c r="AB63" i="12"/>
  <c r="DB63" i="12" s="1"/>
  <c r="AK63" i="12"/>
  <c r="AC63" i="12"/>
  <c r="AN63" i="12"/>
  <c r="AM63" i="12"/>
  <c r="AF63" i="12"/>
  <c r="DC63" i="12" s="1"/>
  <c r="AE63" i="12"/>
  <c r="AH63" i="12"/>
  <c r="AG63" i="12"/>
  <c r="DD63" i="12" s="1"/>
  <c r="AD63" i="12"/>
  <c r="AJ63" i="12"/>
  <c r="DE63" i="12" s="1"/>
  <c r="AA63" i="12"/>
  <c r="AI63" i="12"/>
  <c r="AL63" i="12"/>
  <c r="AG72" i="12"/>
  <c r="DD72" i="12" s="1"/>
  <c r="AN72" i="12"/>
  <c r="AF72" i="12"/>
  <c r="DC72" i="12" s="1"/>
  <c r="AL72" i="12"/>
  <c r="AD72" i="12"/>
  <c r="AM72" i="12"/>
  <c r="AE72" i="12"/>
  <c r="AK72" i="12"/>
  <c r="AC72" i="12"/>
  <c r="AJ72" i="12"/>
  <c r="DE72" i="12" s="1"/>
  <c r="AI72" i="12"/>
  <c r="AB72" i="12"/>
  <c r="DB72" i="12" s="1"/>
  <c r="AA72" i="12"/>
  <c r="AH72" i="12"/>
  <c r="AM41" i="14"/>
  <c r="AJ41" i="14"/>
  <c r="DE41" i="14" s="1"/>
  <c r="AG41" i="14"/>
  <c r="DD41" i="14" s="1"/>
  <c r="AE41" i="14"/>
  <c r="AL41" i="14"/>
  <c r="AH41" i="14"/>
  <c r="AB41" i="14"/>
  <c r="DB41" i="14" s="1"/>
  <c r="AA41" i="14"/>
  <c r="AC41" i="14"/>
  <c r="AN41" i="14"/>
  <c r="AD41" i="14"/>
  <c r="AI41" i="14"/>
  <c r="AK41" i="14"/>
  <c r="AF41" i="14"/>
  <c r="DC41" i="14" s="1"/>
  <c r="AA108" i="13"/>
  <c r="AL108" i="13"/>
  <c r="AI108" i="13"/>
  <c r="AD108" i="13"/>
  <c r="AE108" i="13"/>
  <c r="AN108" i="13"/>
  <c r="AF108" i="13"/>
  <c r="DC108" i="13" s="1"/>
  <c r="AC108" i="13"/>
  <c r="AH108" i="13"/>
  <c r="AM108" i="13"/>
  <c r="AK108" i="13"/>
  <c r="AG108" i="13"/>
  <c r="DD108" i="13" s="1"/>
  <c r="AJ108" i="13"/>
  <c r="DE108" i="13" s="1"/>
  <c r="AB108" i="13"/>
  <c r="DB108" i="13" s="1"/>
  <c r="AL107" i="13"/>
  <c r="AB107" i="13"/>
  <c r="DB107" i="13" s="1"/>
  <c r="AE107" i="13"/>
  <c r="AI107" i="13"/>
  <c r="AM107" i="13"/>
  <c r="AJ107" i="13"/>
  <c r="DE107" i="13" s="1"/>
  <c r="AF107" i="13"/>
  <c r="DC107" i="13" s="1"/>
  <c r="AN107" i="13"/>
  <c r="AC107" i="13"/>
  <c r="AG107" i="13"/>
  <c r="DD107" i="13" s="1"/>
  <c r="AK107" i="13"/>
  <c r="AD107" i="13"/>
  <c r="AH107" i="13"/>
  <c r="AA107" i="13"/>
  <c r="AE110" i="13"/>
  <c r="AI110" i="13"/>
  <c r="AM110" i="13"/>
  <c r="AJ110" i="13"/>
  <c r="DE110" i="13" s="1"/>
  <c r="AF110" i="13"/>
  <c r="DC110" i="13" s="1"/>
  <c r="AN110" i="13"/>
  <c r="AC110" i="13"/>
  <c r="AG110" i="13"/>
  <c r="DD110" i="13" s="1"/>
  <c r="AK110" i="13"/>
  <c r="AH110" i="13"/>
  <c r="AL110" i="13"/>
  <c r="AB110" i="13"/>
  <c r="DB110" i="13" s="1"/>
  <c r="AD110" i="13"/>
  <c r="AA110" i="13"/>
  <c r="AS69" i="12"/>
  <c r="AU69" i="12"/>
  <c r="DH69" i="12" s="1"/>
  <c r="BB69" i="12"/>
  <c r="AO69" i="12"/>
  <c r="AQ69" i="12"/>
  <c r="AZ69" i="12"/>
  <c r="AT69" i="12"/>
  <c r="DG69" i="12" s="1"/>
  <c r="AY69" i="12"/>
  <c r="AR69" i="12"/>
  <c r="AW69" i="12"/>
  <c r="BA69" i="12"/>
  <c r="AX69" i="12"/>
  <c r="DI69" i="12" s="1"/>
  <c r="AP69" i="12"/>
  <c r="DF69" i="12" s="1"/>
  <c r="AV69" i="12"/>
  <c r="AS65" i="12"/>
  <c r="AZ65" i="12"/>
  <c r="AU65" i="12"/>
  <c r="DH65" i="12" s="1"/>
  <c r="AP65" i="12"/>
  <c r="DF65" i="12" s="1"/>
  <c r="AR65" i="12"/>
  <c r="AV65" i="12"/>
  <c r="AX65" i="12"/>
  <c r="DI65" i="12" s="1"/>
  <c r="AT65" i="12"/>
  <c r="DG65" i="12" s="1"/>
  <c r="BA65" i="12"/>
  <c r="BB65" i="12"/>
  <c r="AY65" i="12"/>
  <c r="AW65" i="12"/>
  <c r="AQ65" i="12"/>
  <c r="AO65" i="12"/>
  <c r="AV39" i="14"/>
  <c r="AU39" i="14"/>
  <c r="DH39" i="14" s="1"/>
  <c r="AR39" i="14"/>
  <c r="AT39" i="14"/>
  <c r="DG39" i="14" s="1"/>
  <c r="AO39" i="14"/>
  <c r="AZ39" i="14"/>
  <c r="AW39" i="14"/>
  <c r="AP39" i="14"/>
  <c r="DF39" i="14" s="1"/>
  <c r="AX39" i="14"/>
  <c r="DI39" i="14" s="1"/>
  <c r="AS39" i="14"/>
  <c r="AQ39" i="14"/>
  <c r="AY39" i="14"/>
  <c r="BB39" i="14"/>
  <c r="BA39" i="14"/>
  <c r="AT104" i="13"/>
  <c r="DG104" i="13" s="1"/>
  <c r="BB104" i="13"/>
  <c r="AP104" i="13"/>
  <c r="DF104" i="13" s="1"/>
  <c r="AU104" i="13"/>
  <c r="DH104" i="13" s="1"/>
  <c r="AX104" i="13"/>
  <c r="DI104" i="13" s="1"/>
  <c r="AV104" i="13"/>
  <c r="AZ104" i="13"/>
  <c r="AW104" i="13"/>
  <c r="AS104" i="13"/>
  <c r="AQ104" i="13"/>
  <c r="AO104" i="13"/>
  <c r="AY104" i="13"/>
  <c r="AR104" i="13"/>
  <c r="BA104" i="13"/>
  <c r="AZ115" i="13"/>
  <c r="AV115" i="13"/>
  <c r="AS115" i="13"/>
  <c r="BA115" i="13"/>
  <c r="AP115" i="13"/>
  <c r="DF115" i="13" s="1"/>
  <c r="AT115" i="13"/>
  <c r="DG115" i="13" s="1"/>
  <c r="AX115" i="13"/>
  <c r="DI115" i="13" s="1"/>
  <c r="BB115" i="13"/>
  <c r="AW115" i="13"/>
  <c r="AQ115" i="13"/>
  <c r="AO115" i="13"/>
  <c r="AY115" i="13"/>
  <c r="AR115" i="13"/>
  <c r="AU115" i="13"/>
  <c r="DH115" i="13" s="1"/>
  <c r="BA96" i="12"/>
  <c r="BB96" i="12"/>
  <c r="AT96" i="12"/>
  <c r="DG96" i="12" s="1"/>
  <c r="AV96" i="12"/>
  <c r="AW96" i="12"/>
  <c r="AP96" i="12"/>
  <c r="DF96" i="12" s="1"/>
  <c r="AX96" i="12"/>
  <c r="DI96" i="12" s="1"/>
  <c r="AU96" i="12"/>
  <c r="DH96" i="12" s="1"/>
  <c r="AQ96" i="12"/>
  <c r="AS96" i="12"/>
  <c r="AY96" i="12"/>
  <c r="AR96" i="12"/>
  <c r="AO96" i="12"/>
  <c r="AZ96" i="12"/>
  <c r="AX93" i="12"/>
  <c r="DI93" i="12" s="1"/>
  <c r="BB93" i="12"/>
  <c r="AP93" i="12"/>
  <c r="DF93" i="12" s="1"/>
  <c r="AQ93" i="12"/>
  <c r="AZ93" i="12"/>
  <c r="AV93" i="12"/>
  <c r="AO93" i="12"/>
  <c r="AY93" i="12"/>
  <c r="AW93" i="12"/>
  <c r="AS93" i="12"/>
  <c r="AU93" i="12"/>
  <c r="DH93" i="12" s="1"/>
  <c r="BA93" i="12"/>
  <c r="AR93" i="12"/>
  <c r="AT93" i="12"/>
  <c r="DG93" i="12" s="1"/>
  <c r="AU147" i="13"/>
  <c r="DH147" i="13" s="1"/>
  <c r="AR147" i="13"/>
  <c r="AV147" i="13"/>
  <c r="AT147" i="13"/>
  <c r="DG147" i="13" s="1"/>
  <c r="AO147" i="13"/>
  <c r="BB147" i="13"/>
  <c r="AW147" i="13"/>
  <c r="BA147" i="13"/>
  <c r="AP147" i="13"/>
  <c r="DF147" i="13" s="1"/>
  <c r="AS147" i="13"/>
  <c r="AQ147" i="13"/>
  <c r="AY147" i="13"/>
  <c r="AX147" i="13"/>
  <c r="DI147" i="13" s="1"/>
  <c r="AZ147" i="13"/>
  <c r="P73" i="12"/>
  <c r="M73" i="12"/>
  <c r="V73" i="12"/>
  <c r="W73" i="12"/>
  <c r="N73" i="12"/>
  <c r="O73" i="12"/>
  <c r="U73" i="12"/>
  <c r="T73" i="12"/>
  <c r="Z73" i="12"/>
  <c r="S73" i="12"/>
  <c r="R73" i="12"/>
  <c r="Y73" i="12"/>
  <c r="Q73" i="12"/>
  <c r="X73" i="12"/>
  <c r="M66" i="12"/>
  <c r="P66" i="12"/>
  <c r="T66" i="12"/>
  <c r="S66" i="12"/>
  <c r="W66" i="12"/>
  <c r="Y66" i="12"/>
  <c r="Q66" i="12"/>
  <c r="Z66" i="12"/>
  <c r="O66" i="12"/>
  <c r="R66" i="12"/>
  <c r="X66" i="12"/>
  <c r="N66" i="12"/>
  <c r="U66" i="12"/>
  <c r="V66" i="12"/>
  <c r="Z112" i="13"/>
  <c r="R112" i="13"/>
  <c r="W112" i="13"/>
  <c r="O112" i="13"/>
  <c r="S112" i="13"/>
  <c r="Q112" i="13"/>
  <c r="V112" i="13"/>
  <c r="M112" i="13"/>
  <c r="U112" i="13"/>
  <c r="Y112" i="13"/>
  <c r="T112" i="13"/>
  <c r="P112" i="13"/>
  <c r="N112" i="13"/>
  <c r="X112" i="13"/>
  <c r="BL95" i="12"/>
  <c r="DM95" i="12" s="1"/>
  <c r="BK95" i="12"/>
  <c r="BJ95" i="12"/>
  <c r="BD95" i="12"/>
  <c r="DJ95" i="12" s="1"/>
  <c r="BC95" i="12"/>
  <c r="BP95" i="12"/>
  <c r="BG95" i="12"/>
  <c r="BI95" i="12"/>
  <c r="DL95" i="12" s="1"/>
  <c r="BO95" i="12"/>
  <c r="BF95" i="12"/>
  <c r="BN95" i="12"/>
  <c r="BE95" i="12"/>
  <c r="BM95" i="12"/>
  <c r="BH95" i="12"/>
  <c r="DK95" i="12" s="1"/>
  <c r="BJ90" i="12"/>
  <c r="BM90" i="12"/>
  <c r="BF90" i="12"/>
  <c r="BN90" i="12"/>
  <c r="BG90" i="12"/>
  <c r="BC90" i="12"/>
  <c r="BO90" i="12"/>
  <c r="BH90" i="12"/>
  <c r="DK90" i="12" s="1"/>
  <c r="BP90" i="12"/>
  <c r="BI90" i="12"/>
  <c r="DL90" i="12" s="1"/>
  <c r="BK90" i="12"/>
  <c r="BD90" i="12"/>
  <c r="DJ90" i="12" s="1"/>
  <c r="BL90" i="12"/>
  <c r="DM90" i="12" s="1"/>
  <c r="BE90" i="12"/>
  <c r="BK85" i="14"/>
  <c r="BO85" i="14"/>
  <c r="BC85" i="14"/>
  <c r="BG85" i="14"/>
  <c r="BE85" i="14"/>
  <c r="BN85" i="14"/>
  <c r="BJ85" i="14"/>
  <c r="BF85" i="14"/>
  <c r="BI85" i="14"/>
  <c r="DL85" i="14" s="1"/>
  <c r="BL85" i="14"/>
  <c r="DM85" i="14" s="1"/>
  <c r="BM85" i="14"/>
  <c r="BD85" i="14"/>
  <c r="DJ85" i="14" s="1"/>
  <c r="BH85" i="14"/>
  <c r="DK85" i="14" s="1"/>
  <c r="BP85" i="14"/>
  <c r="BK60" i="15"/>
  <c r="BC60" i="15"/>
  <c r="BJ60" i="15"/>
  <c r="BE60" i="15"/>
  <c r="BI60" i="15"/>
  <c r="DL60" i="15" s="1"/>
  <c r="BP60" i="15"/>
  <c r="BH60" i="15"/>
  <c r="DK60" i="15" s="1"/>
  <c r="BM60" i="15"/>
  <c r="BO60" i="15"/>
  <c r="BG60" i="15"/>
  <c r="BN60" i="15"/>
  <c r="BF60" i="15"/>
  <c r="BL60" i="15"/>
  <c r="DM60" i="15" s="1"/>
  <c r="BD60" i="15"/>
  <c r="DJ60" i="15" s="1"/>
  <c r="BO157" i="13"/>
  <c r="BH157" i="13"/>
  <c r="DK157" i="13" s="1"/>
  <c r="BE157" i="13"/>
  <c r="BP157" i="13"/>
  <c r="BM157" i="13"/>
  <c r="BI157" i="13"/>
  <c r="DL157" i="13" s="1"/>
  <c r="BF157" i="13"/>
  <c r="BJ157" i="13"/>
  <c r="BN157" i="13"/>
  <c r="BC157" i="13"/>
  <c r="BG157" i="13"/>
  <c r="BD157" i="13"/>
  <c r="DJ157" i="13" s="1"/>
  <c r="BL157" i="13"/>
  <c r="DM157" i="13" s="1"/>
  <c r="BK157" i="13"/>
  <c r="BH66" i="12"/>
  <c r="DK66" i="12" s="1"/>
  <c r="BP66" i="12"/>
  <c r="BI66" i="12"/>
  <c r="DL66" i="12" s="1"/>
  <c r="BM66" i="12"/>
  <c r="BJ66" i="12"/>
  <c r="BF66" i="12"/>
  <c r="BC66" i="12"/>
  <c r="BN66" i="12"/>
  <c r="BK66" i="12"/>
  <c r="BG66" i="12"/>
  <c r="BD66" i="12"/>
  <c r="DJ66" i="12" s="1"/>
  <c r="BO66" i="12"/>
  <c r="BL66" i="12"/>
  <c r="DM66" i="12" s="1"/>
  <c r="BE66" i="12"/>
  <c r="BJ70" i="12"/>
  <c r="BG70" i="12"/>
  <c r="BL70" i="12"/>
  <c r="DM70" i="12" s="1"/>
  <c r="BI70" i="12"/>
  <c r="DL70" i="12" s="1"/>
  <c r="BF70" i="12"/>
  <c r="BH70" i="12"/>
  <c r="DK70" i="12" s="1"/>
  <c r="BD70" i="12"/>
  <c r="DJ70" i="12" s="1"/>
  <c r="BO70" i="12"/>
  <c r="BP70" i="12"/>
  <c r="BC70" i="12"/>
  <c r="BK70" i="12"/>
  <c r="BE70" i="12"/>
  <c r="BM70" i="12"/>
  <c r="BN70" i="12"/>
  <c r="BE41" i="14"/>
  <c r="BN41" i="14"/>
  <c r="BM41" i="14"/>
  <c r="BG41" i="14"/>
  <c r="BF41" i="14"/>
  <c r="BD41" i="14"/>
  <c r="DJ41" i="14" s="1"/>
  <c r="BO41" i="14"/>
  <c r="BI41" i="14"/>
  <c r="DL41" i="14" s="1"/>
  <c r="BL41" i="14"/>
  <c r="DM41" i="14" s="1"/>
  <c r="BC41" i="14"/>
  <c r="BH41" i="14"/>
  <c r="DK41" i="14" s="1"/>
  <c r="BK41" i="14"/>
  <c r="BJ41" i="14"/>
  <c r="BP41" i="14"/>
  <c r="BG40" i="14"/>
  <c r="BM40" i="14"/>
  <c r="BO40" i="14"/>
  <c r="BJ40" i="14"/>
  <c r="BE40" i="14"/>
  <c r="BI40" i="14"/>
  <c r="DL40" i="14" s="1"/>
  <c r="BK40" i="14"/>
  <c r="BD40" i="14"/>
  <c r="DJ40" i="14" s="1"/>
  <c r="BC40" i="14"/>
  <c r="BL40" i="14"/>
  <c r="DM40" i="14" s="1"/>
  <c r="BF40" i="14"/>
  <c r="BP40" i="14"/>
  <c r="BN40" i="14"/>
  <c r="BH40" i="14"/>
  <c r="DK40" i="14" s="1"/>
  <c r="BP38" i="14"/>
  <c r="BH38" i="14"/>
  <c r="DK38" i="14" s="1"/>
  <c r="BK38" i="14"/>
  <c r="BD38" i="14"/>
  <c r="DJ38" i="14" s="1"/>
  <c r="BJ38" i="14"/>
  <c r="BO38" i="14"/>
  <c r="BG38" i="14"/>
  <c r="BI38" i="14"/>
  <c r="DL38" i="14" s="1"/>
  <c r="BM38" i="14"/>
  <c r="BE38" i="14"/>
  <c r="BL38" i="14"/>
  <c r="DM38" i="14" s="1"/>
  <c r="BF38" i="14"/>
  <c r="BC38" i="14"/>
  <c r="BN38" i="14"/>
  <c r="BN115" i="13"/>
  <c r="BM115" i="13"/>
  <c r="BG115" i="13"/>
  <c r="BC115" i="13"/>
  <c r="BD115" i="13"/>
  <c r="DJ115" i="13" s="1"/>
  <c r="BO115" i="13"/>
  <c r="BH115" i="13"/>
  <c r="DK115" i="13" s="1"/>
  <c r="BK115" i="13"/>
  <c r="BL115" i="13"/>
  <c r="DM115" i="13" s="1"/>
  <c r="BP115" i="13"/>
  <c r="BI115" i="13"/>
  <c r="DL115" i="13" s="1"/>
  <c r="BE115" i="13"/>
  <c r="BF115" i="13"/>
  <c r="BJ115" i="13"/>
  <c r="CD99" i="12"/>
  <c r="BT99" i="12"/>
  <c r="BW99" i="12"/>
  <c r="DP99" i="12" s="1"/>
  <c r="BX99" i="12"/>
  <c r="CB99" i="12"/>
  <c r="BY99" i="12"/>
  <c r="BS99" i="12"/>
  <c r="CA99" i="12"/>
  <c r="BV99" i="12"/>
  <c r="DO99" i="12" s="1"/>
  <c r="BR99" i="12"/>
  <c r="DN99" i="12" s="1"/>
  <c r="BZ99" i="12"/>
  <c r="DQ99" i="12" s="1"/>
  <c r="BU99" i="12"/>
  <c r="BQ99" i="12"/>
  <c r="CC99" i="12"/>
  <c r="CB98" i="12"/>
  <c r="BX98" i="12"/>
  <c r="BV98" i="12"/>
  <c r="DO98" i="12" s="1"/>
  <c r="BW98" i="12"/>
  <c r="DP98" i="12" s="1"/>
  <c r="BQ98" i="12"/>
  <c r="BZ98" i="12"/>
  <c r="DQ98" i="12" s="1"/>
  <c r="CD98" i="12"/>
  <c r="BY98" i="12"/>
  <c r="BT98" i="12"/>
  <c r="BS98" i="12"/>
  <c r="CA98" i="12"/>
  <c r="BU98" i="12"/>
  <c r="CC98" i="12"/>
  <c r="BR98" i="12"/>
  <c r="DN98" i="12" s="1"/>
  <c r="BR149" i="13"/>
  <c r="DN149" i="13" s="1"/>
  <c r="BX149" i="13"/>
  <c r="BZ149" i="13"/>
  <c r="DQ149" i="13" s="1"/>
  <c r="CD149" i="13"/>
  <c r="BS149" i="13"/>
  <c r="BQ149" i="13"/>
  <c r="CA149" i="13"/>
  <c r="BV149" i="13"/>
  <c r="DO149" i="13" s="1"/>
  <c r="BT149" i="13"/>
  <c r="BW149" i="13"/>
  <c r="DP149" i="13" s="1"/>
  <c r="CB149" i="13"/>
  <c r="BY149" i="13"/>
  <c r="CC149" i="13"/>
  <c r="BU149" i="13"/>
  <c r="BQ148" i="13"/>
  <c r="CA148" i="13"/>
  <c r="BY148" i="13"/>
  <c r="CB148" i="13"/>
  <c r="BR148" i="13"/>
  <c r="DN148" i="13" s="1"/>
  <c r="BZ148" i="13"/>
  <c r="DQ148" i="13" s="1"/>
  <c r="BV148" i="13"/>
  <c r="DO148" i="13" s="1"/>
  <c r="BS148" i="13"/>
  <c r="CD148" i="13"/>
  <c r="BU148" i="13"/>
  <c r="BX148" i="13"/>
  <c r="BT148" i="13"/>
  <c r="BW148" i="13"/>
  <c r="DP148" i="13" s="1"/>
  <c r="CC148" i="13"/>
  <c r="BQ151" i="13"/>
  <c r="CB151" i="13"/>
  <c r="BY151" i="13"/>
  <c r="BT151" i="13"/>
  <c r="BW151" i="13"/>
  <c r="DP151" i="13" s="1"/>
  <c r="CC151" i="13"/>
  <c r="BX151" i="13"/>
  <c r="BU151" i="13"/>
  <c r="BZ151" i="13"/>
  <c r="DQ151" i="13" s="1"/>
  <c r="CD151" i="13"/>
  <c r="BR151" i="13"/>
  <c r="DN151" i="13" s="1"/>
  <c r="BV151" i="13"/>
  <c r="DO151" i="13" s="1"/>
  <c r="BS151" i="13"/>
  <c r="CA151" i="13"/>
  <c r="BX146" i="13"/>
  <c r="BW146" i="13"/>
  <c r="DP146" i="13" s="1"/>
  <c r="BS146" i="13"/>
  <c r="BY146" i="13"/>
  <c r="CB146" i="13"/>
  <c r="BR146" i="13"/>
  <c r="DN146" i="13" s="1"/>
  <c r="BT146" i="13"/>
  <c r="CA146" i="13"/>
  <c r="CC146" i="13"/>
  <c r="BQ146" i="13"/>
  <c r="BU146" i="13"/>
  <c r="BZ146" i="13"/>
  <c r="DQ146" i="13" s="1"/>
  <c r="BV146" i="13"/>
  <c r="DO146" i="13" s="1"/>
  <c r="CD146" i="13"/>
  <c r="AG73" i="12"/>
  <c r="DD73" i="12" s="1"/>
  <c r="AJ73" i="12"/>
  <c r="DE73" i="12" s="1"/>
  <c r="AC73" i="12"/>
  <c r="AL73" i="12"/>
  <c r="AM73" i="12"/>
  <c r="AB73" i="12"/>
  <c r="DB73" i="12" s="1"/>
  <c r="AK73" i="12"/>
  <c r="AF73" i="12"/>
  <c r="DC73" i="12" s="1"/>
  <c r="AE73" i="12"/>
  <c r="AN73" i="12"/>
  <c r="AD73" i="12"/>
  <c r="AA73" i="12"/>
  <c r="AI73" i="12"/>
  <c r="AH73" i="12"/>
  <c r="AG36" i="14"/>
  <c r="DD36" i="14" s="1"/>
  <c r="AB36" i="14"/>
  <c r="DB36" i="14" s="1"/>
  <c r="AM36" i="14"/>
  <c r="AJ36" i="14"/>
  <c r="DE36" i="14" s="1"/>
  <c r="AD36" i="14"/>
  <c r="AL36" i="14"/>
  <c r="AF36" i="14"/>
  <c r="DC36" i="14" s="1"/>
  <c r="AH36" i="14"/>
  <c r="AI36" i="14"/>
  <c r="AC36" i="14"/>
  <c r="AE36" i="14"/>
  <c r="AK36" i="14"/>
  <c r="AA36" i="14"/>
  <c r="AN36" i="14"/>
  <c r="AG112" i="13"/>
  <c r="DD112" i="13" s="1"/>
  <c r="AC112" i="13"/>
  <c r="AH112" i="13"/>
  <c r="AD112" i="13"/>
  <c r="AI112" i="13"/>
  <c r="AL112" i="13"/>
  <c r="AA112" i="13"/>
  <c r="AN112" i="13"/>
  <c r="AB112" i="13"/>
  <c r="DB112" i="13" s="1"/>
  <c r="AE112" i="13"/>
  <c r="AK112" i="13"/>
  <c r="AJ112" i="13"/>
  <c r="DE112" i="13" s="1"/>
  <c r="AF112" i="13"/>
  <c r="DC112" i="13" s="1"/>
  <c r="AM112" i="13"/>
  <c r="AB114" i="13"/>
  <c r="DB114" i="13" s="1"/>
  <c r="AJ114" i="13"/>
  <c r="DE114" i="13" s="1"/>
  <c r="AF114" i="13"/>
  <c r="DC114" i="13" s="1"/>
  <c r="AE114" i="13"/>
  <c r="AN114" i="13"/>
  <c r="AM114" i="13"/>
  <c r="AH114" i="13"/>
  <c r="AD114" i="13"/>
  <c r="AA114" i="13"/>
  <c r="AK114" i="13"/>
  <c r="AG114" i="13"/>
  <c r="DD114" i="13" s="1"/>
  <c r="AI114" i="13"/>
  <c r="AC114" i="13"/>
  <c r="AL114" i="13"/>
  <c r="AP72" i="12"/>
  <c r="DF72" i="12" s="1"/>
  <c r="BB72" i="12"/>
  <c r="AV72" i="12"/>
  <c r="BA72" i="12"/>
  <c r="AO72" i="12"/>
  <c r="AX72" i="12"/>
  <c r="DI72" i="12" s="1"/>
  <c r="AS72" i="12"/>
  <c r="AU72" i="12"/>
  <c r="DH72" i="12" s="1"/>
  <c r="AT72" i="12"/>
  <c r="DG72" i="12" s="1"/>
  <c r="AW72" i="12"/>
  <c r="AZ72" i="12"/>
  <c r="AY72" i="12"/>
  <c r="AR72" i="12"/>
  <c r="AQ72" i="12"/>
  <c r="AV64" i="12"/>
  <c r="AW64" i="12"/>
  <c r="AS64" i="12"/>
  <c r="AU64" i="12"/>
  <c r="DH64" i="12" s="1"/>
  <c r="AO64" i="12"/>
  <c r="AZ64" i="12"/>
  <c r="BB64" i="12"/>
  <c r="AY64" i="12"/>
  <c r="AT64" i="12"/>
  <c r="DG64" i="12" s="1"/>
  <c r="AQ64" i="12"/>
  <c r="AX64" i="12"/>
  <c r="DI64" i="12" s="1"/>
  <c r="AR64" i="12"/>
  <c r="AP64" i="12"/>
  <c r="DF64" i="12" s="1"/>
  <c r="BA64" i="12"/>
  <c r="AQ106" i="13"/>
  <c r="AU106" i="13"/>
  <c r="DH106" i="13" s="1"/>
  <c r="AY106" i="13"/>
  <c r="AO106" i="13"/>
  <c r="AR106" i="13"/>
  <c r="AW106" i="13"/>
  <c r="AZ106" i="13"/>
  <c r="AS106" i="13"/>
  <c r="AP106" i="13"/>
  <c r="DF106" i="13" s="1"/>
  <c r="AT106" i="13"/>
  <c r="DG106" i="13" s="1"/>
  <c r="BA106" i="13"/>
  <c r="BB106" i="13"/>
  <c r="AV106" i="13"/>
  <c r="AX106" i="13"/>
  <c r="DI106" i="13" s="1"/>
  <c r="AR36" i="14"/>
  <c r="AS36" i="14"/>
  <c r="AV36" i="14"/>
  <c r="AP36" i="14"/>
  <c r="DF36" i="14" s="1"/>
  <c r="AW36" i="14"/>
  <c r="AO36" i="14"/>
  <c r="BA36" i="14"/>
  <c r="AX36" i="14"/>
  <c r="DI36" i="14" s="1"/>
  <c r="AY36" i="14"/>
  <c r="AQ36" i="14"/>
  <c r="AZ36" i="14"/>
  <c r="AU36" i="14"/>
  <c r="DH36" i="14" s="1"/>
  <c r="AT36" i="14"/>
  <c r="DG36" i="14" s="1"/>
  <c r="BB36" i="14"/>
  <c r="AY108" i="13"/>
  <c r="AU108" i="13"/>
  <c r="DH108" i="13" s="1"/>
  <c r="AP108" i="13"/>
  <c r="DF108" i="13" s="1"/>
  <c r="AV108" i="13"/>
  <c r="AX108" i="13"/>
  <c r="DI108" i="13" s="1"/>
  <c r="AZ108" i="13"/>
  <c r="AW108" i="13"/>
  <c r="AR108" i="13"/>
  <c r="AS108" i="13"/>
  <c r="AO108" i="13"/>
  <c r="BB108" i="13"/>
  <c r="AQ108" i="13"/>
  <c r="BA108" i="13"/>
  <c r="AT108" i="13"/>
  <c r="DG108" i="13" s="1"/>
  <c r="AU37" i="14"/>
  <c r="DH37" i="14" s="1"/>
  <c r="AO37" i="14"/>
  <c r="AP37" i="14"/>
  <c r="DF37" i="14" s="1"/>
  <c r="BA37" i="14"/>
  <c r="AT37" i="14"/>
  <c r="DG37" i="14" s="1"/>
  <c r="AW37" i="14"/>
  <c r="AX37" i="14"/>
  <c r="DI37" i="14" s="1"/>
  <c r="BB37" i="14"/>
  <c r="AV37" i="14"/>
  <c r="AQ37" i="14"/>
  <c r="AS37" i="14"/>
  <c r="AY37" i="14"/>
  <c r="AR37" i="14"/>
  <c r="AZ37" i="14"/>
  <c r="AY99" i="12"/>
  <c r="AQ99" i="12"/>
  <c r="AX99" i="12"/>
  <c r="DI99" i="12" s="1"/>
  <c r="AO99" i="12"/>
  <c r="AR99" i="12"/>
  <c r="AS99" i="12"/>
  <c r="AT99" i="12"/>
  <c r="DG99" i="12" s="1"/>
  <c r="AZ99" i="12"/>
  <c r="BA99" i="12"/>
  <c r="BB99" i="12"/>
  <c r="AP99" i="12"/>
  <c r="DF99" i="12" s="1"/>
  <c r="AU99" i="12"/>
  <c r="DH99" i="12" s="1"/>
  <c r="AV99" i="12"/>
  <c r="AW99" i="12"/>
  <c r="AY89" i="12"/>
  <c r="AQ89" i="12"/>
  <c r="AU89" i="12"/>
  <c r="DH89" i="12" s="1"/>
  <c r="AW89" i="12"/>
  <c r="AX89" i="12"/>
  <c r="DI89" i="12" s="1"/>
  <c r="AT89" i="12"/>
  <c r="DG89" i="12" s="1"/>
  <c r="BB89" i="12"/>
  <c r="AV89" i="12"/>
  <c r="AS89" i="12"/>
  <c r="AR89" i="12"/>
  <c r="BA89" i="12"/>
  <c r="AO89" i="12"/>
  <c r="AP89" i="12"/>
  <c r="DF89" i="12" s="1"/>
  <c r="AZ89" i="12"/>
  <c r="BA148" i="13"/>
  <c r="AP148" i="13"/>
  <c r="DF148" i="13" s="1"/>
  <c r="AT148" i="13"/>
  <c r="DG148" i="13" s="1"/>
  <c r="AX148" i="13"/>
  <c r="DI148" i="13" s="1"/>
  <c r="BB148" i="13"/>
  <c r="AQ148" i="13"/>
  <c r="AU148" i="13"/>
  <c r="DH148" i="13" s="1"/>
  <c r="AY148" i="13"/>
  <c r="AO148" i="13"/>
  <c r="AR148" i="13"/>
  <c r="AW148" i="13"/>
  <c r="AS148" i="13"/>
  <c r="AV148" i="13"/>
  <c r="AZ148" i="13"/>
  <c r="AW151" i="13"/>
  <c r="AO151" i="13"/>
  <c r="AS151" i="13"/>
  <c r="AQ151" i="13"/>
  <c r="BB151" i="13"/>
  <c r="BA151" i="13"/>
  <c r="AT151" i="13"/>
  <c r="DG151" i="13" s="1"/>
  <c r="AV151" i="13"/>
  <c r="AU151" i="13"/>
  <c r="DH151" i="13" s="1"/>
  <c r="AX151" i="13"/>
  <c r="DI151" i="13" s="1"/>
  <c r="AY151" i="13"/>
  <c r="AZ151" i="13"/>
  <c r="AP151" i="13"/>
  <c r="DF151" i="13" s="1"/>
  <c r="AR151" i="13"/>
  <c r="BB146" i="13"/>
  <c r="AX146" i="13"/>
  <c r="DI146" i="13" s="1"/>
  <c r="AT146" i="13"/>
  <c r="DG146" i="13" s="1"/>
  <c r="AU146" i="13"/>
  <c r="DH146" i="13" s="1"/>
  <c r="AR146" i="13"/>
  <c r="AV146" i="13"/>
  <c r="AZ146" i="13"/>
  <c r="AW146" i="13"/>
  <c r="AQ146" i="13"/>
  <c r="AP146" i="13"/>
  <c r="DF146" i="13" s="1"/>
  <c r="BA146" i="13"/>
  <c r="AS146" i="13"/>
  <c r="AY146" i="13"/>
  <c r="AO146" i="13"/>
  <c r="R68" i="12"/>
  <c r="S68" i="12"/>
  <c r="M68" i="12"/>
  <c r="Q68" i="12"/>
  <c r="X68" i="12"/>
  <c r="CP68" i="12" s="1"/>
  <c r="Z68" i="12"/>
  <c r="V68" i="12"/>
  <c r="Y68" i="12"/>
  <c r="N68" i="12"/>
  <c r="W68" i="12"/>
  <c r="O68" i="12"/>
  <c r="P68" i="12"/>
  <c r="CH68" i="12" s="1"/>
  <c r="U68" i="12"/>
  <c r="T68" i="12"/>
  <c r="T69" i="12"/>
  <c r="W69" i="12"/>
  <c r="O69" i="12"/>
  <c r="S69" i="12"/>
  <c r="V69" i="12"/>
  <c r="U69" i="12"/>
  <c r="N69" i="12"/>
  <c r="M69" i="12"/>
  <c r="Y69" i="12"/>
  <c r="Q69" i="12"/>
  <c r="Z69" i="12"/>
  <c r="R69" i="12"/>
  <c r="X69" i="12"/>
  <c r="P69" i="12"/>
  <c r="Q38" i="14"/>
  <c r="X38" i="14"/>
  <c r="Z38" i="14"/>
  <c r="S38" i="14"/>
  <c r="U38" i="14"/>
  <c r="R38" i="14"/>
  <c r="N38" i="14"/>
  <c r="T38" i="14"/>
  <c r="V38" i="14"/>
  <c r="O38" i="14"/>
  <c r="P38" i="14"/>
  <c r="M38" i="14"/>
  <c r="Y38" i="14"/>
  <c r="W38" i="14"/>
  <c r="Q103" i="13"/>
  <c r="W103" i="13"/>
  <c r="Y103" i="13"/>
  <c r="R103" i="13"/>
  <c r="N103" i="13"/>
  <c r="Z103" i="13"/>
  <c r="CR103" i="13" s="1"/>
  <c r="J103" i="13" s="1"/>
  <c r="V103" i="13"/>
  <c r="S103" i="13"/>
  <c r="P103" i="13"/>
  <c r="M103" i="13"/>
  <c r="O103" i="13"/>
  <c r="X103" i="13"/>
  <c r="T103" i="13"/>
  <c r="U103" i="13"/>
  <c r="BK88" i="12"/>
  <c r="BI88" i="12"/>
  <c r="DL88" i="12" s="1"/>
  <c r="BJ88" i="12"/>
  <c r="BD88" i="12"/>
  <c r="DJ88" i="12" s="1"/>
  <c r="BF88" i="12"/>
  <c r="BL88" i="12"/>
  <c r="DM88" i="12" s="1"/>
  <c r="BN88" i="12"/>
  <c r="BG88" i="12"/>
  <c r="BO88" i="12"/>
  <c r="BE88" i="12"/>
  <c r="BH88" i="12"/>
  <c r="DK88" i="12" s="1"/>
  <c r="BM88" i="12"/>
  <c r="BP88" i="12"/>
  <c r="BC88" i="12"/>
  <c r="BE82" i="14"/>
  <c r="BI82" i="14"/>
  <c r="DL82" i="14" s="1"/>
  <c r="BO82" i="14"/>
  <c r="BP82" i="14"/>
  <c r="BG82" i="14"/>
  <c r="BH82" i="14"/>
  <c r="DK82" i="14" s="1"/>
  <c r="BL82" i="14"/>
  <c r="DM82" i="14" s="1"/>
  <c r="BN82" i="14"/>
  <c r="BD82" i="14"/>
  <c r="DJ82" i="14" s="1"/>
  <c r="BF82" i="14"/>
  <c r="BK82" i="14"/>
  <c r="BM82" i="14"/>
  <c r="BJ82" i="14"/>
  <c r="BC82" i="14"/>
  <c r="BJ69" i="12"/>
  <c r="BI69" i="12"/>
  <c r="DL69" i="12" s="1"/>
  <c r="BO69" i="12"/>
  <c r="BE69" i="12"/>
  <c r="BM69" i="12"/>
  <c r="BH69" i="12"/>
  <c r="DK69" i="12" s="1"/>
  <c r="BC69" i="12"/>
  <c r="BD69" i="12"/>
  <c r="DJ69" i="12" s="1"/>
  <c r="BG69" i="12"/>
  <c r="BL69" i="12"/>
  <c r="DM69" i="12" s="1"/>
  <c r="BK69" i="12"/>
  <c r="BN69" i="12"/>
  <c r="BF69" i="12"/>
  <c r="BP69" i="12"/>
  <c r="BO114" i="13"/>
  <c r="BD114" i="13"/>
  <c r="DJ114" i="13" s="1"/>
  <c r="BH114" i="13"/>
  <c r="DK114" i="13" s="1"/>
  <c r="BL114" i="13"/>
  <c r="DM114" i="13" s="1"/>
  <c r="BP114" i="13"/>
  <c r="BE114" i="13"/>
  <c r="BC114" i="13"/>
  <c r="BM114" i="13"/>
  <c r="BK114" i="13"/>
  <c r="BF114" i="13"/>
  <c r="BI114" i="13"/>
  <c r="DL114" i="13" s="1"/>
  <c r="BJ114" i="13"/>
  <c r="BN114" i="13"/>
  <c r="BG114" i="13"/>
  <c r="BD36" i="14"/>
  <c r="DJ36" i="14" s="1"/>
  <c r="BL36" i="14"/>
  <c r="DM36" i="14" s="1"/>
  <c r="BE36" i="14"/>
  <c r="BK36" i="14"/>
  <c r="BM36" i="14"/>
  <c r="BG36" i="14"/>
  <c r="BF36" i="14"/>
  <c r="BO36" i="14"/>
  <c r="BJ36" i="14"/>
  <c r="BI36" i="14"/>
  <c r="DL36" i="14" s="1"/>
  <c r="BC36" i="14"/>
  <c r="BP36" i="14"/>
  <c r="BH36" i="14"/>
  <c r="DK36" i="14" s="1"/>
  <c r="BN36" i="14"/>
  <c r="BP39" i="14"/>
  <c r="BG39" i="14"/>
  <c r="BH39" i="14"/>
  <c r="DK39" i="14" s="1"/>
  <c r="BO39" i="14"/>
  <c r="BJ39" i="14"/>
  <c r="BI39" i="14"/>
  <c r="DL39" i="14" s="1"/>
  <c r="BC39" i="14"/>
  <c r="BD39" i="14"/>
  <c r="DJ39" i="14" s="1"/>
  <c r="BM39" i="14"/>
  <c r="BE39" i="14"/>
  <c r="BK39" i="14"/>
  <c r="BN39" i="14"/>
  <c r="BF39" i="14"/>
  <c r="BL39" i="14"/>
  <c r="DM39" i="14" s="1"/>
  <c r="BJ42" i="14"/>
  <c r="BN42" i="14"/>
  <c r="BI42" i="14"/>
  <c r="DL42" i="14" s="1"/>
  <c r="BF42" i="14"/>
  <c r="BP42" i="14"/>
  <c r="BE42" i="14"/>
  <c r="BH42" i="14"/>
  <c r="DK42" i="14" s="1"/>
  <c r="BK42" i="14"/>
  <c r="BO42" i="14"/>
  <c r="BD42" i="14"/>
  <c r="DJ42" i="14" s="1"/>
  <c r="BL42" i="14"/>
  <c r="DM42" i="14" s="1"/>
  <c r="BG42" i="14"/>
  <c r="BC42" i="14"/>
  <c r="BM42" i="14"/>
  <c r="BM17" i="15"/>
  <c r="BL17" i="15"/>
  <c r="DM17" i="15" s="1"/>
  <c r="BE17" i="15"/>
  <c r="BF17" i="15"/>
  <c r="BH17" i="15"/>
  <c r="DK17" i="15" s="1"/>
  <c r="BD17" i="15"/>
  <c r="DJ17" i="15" s="1"/>
  <c r="BC17" i="15"/>
  <c r="BG17" i="15"/>
  <c r="BP17" i="15"/>
  <c r="BK17" i="15"/>
  <c r="BO17" i="15"/>
  <c r="BI17" i="15"/>
  <c r="DL17" i="15" s="1"/>
  <c r="BJ17" i="15"/>
  <c r="BN17" i="15"/>
  <c r="G300" i="8"/>
  <c r="D57" i="8"/>
  <c r="E57" i="8"/>
  <c r="I279" i="8"/>
  <c r="J279" i="8" s="1"/>
  <c r="F299" i="8"/>
  <c r="Q302" i="8"/>
  <c r="Q297" i="8"/>
  <c r="Q296" i="8"/>
  <c r="I273" i="8"/>
  <c r="J273" i="8" s="1"/>
  <c r="G296" i="8"/>
  <c r="G298" i="8"/>
  <c r="F303" i="8"/>
  <c r="S274" i="8"/>
  <c r="T274" i="8" s="1"/>
  <c r="O296" i="8"/>
  <c r="I277" i="8"/>
  <c r="J277" i="8" s="1"/>
  <c r="I269" i="8"/>
  <c r="J269" i="8" s="1"/>
  <c r="S270" i="8"/>
  <c r="T270" i="8" s="1"/>
  <c r="Q300" i="8"/>
  <c r="S268" i="8"/>
  <c r="T268" i="8" s="1"/>
  <c r="S283" i="8"/>
  <c r="T283" i="8" s="1"/>
  <c r="S275" i="8"/>
  <c r="T275" i="8" s="1"/>
  <c r="Q304" i="8"/>
  <c r="E306" i="8"/>
  <c r="Q305" i="8"/>
  <c r="AY47" i="8"/>
  <c r="AQ47" i="8"/>
  <c r="AX47" i="8"/>
  <c r="DI47" i="8" s="1"/>
  <c r="AP47" i="8"/>
  <c r="DF47" i="8" s="1"/>
  <c r="AW47" i="8"/>
  <c r="AO47" i="8"/>
  <c r="AV47" i="8"/>
  <c r="AU47" i="8"/>
  <c r="DH47" i="8" s="1"/>
  <c r="AT47" i="8"/>
  <c r="DG47" i="8" s="1"/>
  <c r="BA47" i="8"/>
  <c r="AS47" i="8"/>
  <c r="AZ47" i="8"/>
  <c r="AR47" i="8"/>
  <c r="BB47" i="8"/>
  <c r="AM98" i="8"/>
  <c r="AE98" i="8"/>
  <c r="AL98" i="8"/>
  <c r="AD98" i="8"/>
  <c r="AK98" i="8"/>
  <c r="AC98" i="8"/>
  <c r="AJ98" i="8"/>
  <c r="DE98" i="8" s="1"/>
  <c r="AB98" i="8"/>
  <c r="DB98" i="8" s="1"/>
  <c r="AI98" i="8"/>
  <c r="AA98" i="8"/>
  <c r="AH98" i="8"/>
  <c r="AG98" i="8"/>
  <c r="DD98" i="8" s="1"/>
  <c r="AN98" i="8"/>
  <c r="AF98" i="8"/>
  <c r="DC98" i="8" s="1"/>
  <c r="Q303" i="8"/>
  <c r="BK53" i="8"/>
  <c r="BC53" i="8"/>
  <c r="BJ53" i="8"/>
  <c r="BI53" i="8"/>
  <c r="DL53" i="8" s="1"/>
  <c r="BH53" i="8"/>
  <c r="DK53" i="8" s="1"/>
  <c r="BO53" i="8"/>
  <c r="BG53" i="8"/>
  <c r="BN53" i="8"/>
  <c r="BF53" i="8"/>
  <c r="BM53" i="8"/>
  <c r="BE53" i="8"/>
  <c r="BL53" i="8"/>
  <c r="DM53" i="8" s="1"/>
  <c r="BD53" i="8"/>
  <c r="DJ53" i="8" s="1"/>
  <c r="BP53" i="8"/>
  <c r="AG50" i="8"/>
  <c r="DD50" i="8" s="1"/>
  <c r="AF50" i="8"/>
  <c r="DC50" i="8" s="1"/>
  <c r="AM50" i="8"/>
  <c r="AE50" i="8"/>
  <c r="AL50" i="8"/>
  <c r="AD50" i="8"/>
  <c r="AK50" i="8"/>
  <c r="AC50" i="8"/>
  <c r="AJ50" i="8"/>
  <c r="DE50" i="8" s="1"/>
  <c r="AB50" i="8"/>
  <c r="DB50" i="8" s="1"/>
  <c r="AI50" i="8"/>
  <c r="AH50" i="8"/>
  <c r="AA50" i="8"/>
  <c r="AN50" i="8"/>
  <c r="AK46" i="8"/>
  <c r="AC46" i="8"/>
  <c r="AJ46" i="8"/>
  <c r="DE46" i="8" s="1"/>
  <c r="AB46" i="8"/>
  <c r="DB46" i="8" s="1"/>
  <c r="AI46" i="8"/>
  <c r="AA46" i="8"/>
  <c r="AH46" i="8"/>
  <c r="AG46" i="8"/>
  <c r="DD46" i="8" s="1"/>
  <c r="AF46" i="8"/>
  <c r="DC46" i="8" s="1"/>
  <c r="AM46" i="8"/>
  <c r="AL46" i="8"/>
  <c r="AE46" i="8"/>
  <c r="AD46" i="8"/>
  <c r="AN46" i="8"/>
  <c r="AI104" i="8"/>
  <c r="AA104" i="8"/>
  <c r="AH104" i="8"/>
  <c r="AG104" i="8"/>
  <c r="DD104" i="8" s="1"/>
  <c r="AN104" i="8"/>
  <c r="AF104" i="8"/>
  <c r="DC104" i="8" s="1"/>
  <c r="AM104" i="8"/>
  <c r="AE104" i="8"/>
  <c r="AL104" i="8"/>
  <c r="AD104" i="8"/>
  <c r="AK104" i="8"/>
  <c r="AC104" i="8"/>
  <c r="AB104" i="8"/>
  <c r="DB104" i="8" s="1"/>
  <c r="AJ104" i="8"/>
  <c r="DE104" i="8" s="1"/>
  <c r="CA47" i="8"/>
  <c r="BS47" i="8"/>
  <c r="BZ47" i="8"/>
  <c r="DQ47" i="8" s="1"/>
  <c r="BR47" i="8"/>
  <c r="DN47" i="8" s="1"/>
  <c r="BY47" i="8"/>
  <c r="BQ47" i="8"/>
  <c r="BX47" i="8"/>
  <c r="BW47" i="8"/>
  <c r="DP47" i="8" s="1"/>
  <c r="BV47" i="8"/>
  <c r="DO47" i="8" s="1"/>
  <c r="CC47" i="8"/>
  <c r="BU47" i="8"/>
  <c r="CB47" i="8"/>
  <c r="BT47" i="8"/>
  <c r="CD47" i="8"/>
  <c r="AY97" i="8"/>
  <c r="AQ97" i="8"/>
  <c r="AX97" i="8"/>
  <c r="DI97" i="8" s="1"/>
  <c r="AP97" i="8"/>
  <c r="DF97" i="8" s="1"/>
  <c r="AW97" i="8"/>
  <c r="AO97" i="8"/>
  <c r="AV97" i="8"/>
  <c r="AU97" i="8"/>
  <c r="DH97" i="8" s="1"/>
  <c r="BB97" i="8"/>
  <c r="AT97" i="8"/>
  <c r="DG97" i="8" s="1"/>
  <c r="BA97" i="8"/>
  <c r="AS97" i="8"/>
  <c r="AZ97" i="8"/>
  <c r="AR97" i="8"/>
  <c r="BA102" i="8"/>
  <c r="AS102" i="8"/>
  <c r="AZ102" i="8"/>
  <c r="AR102" i="8"/>
  <c r="AY102" i="8"/>
  <c r="AQ102" i="8"/>
  <c r="AX102" i="8"/>
  <c r="DI102" i="8" s="1"/>
  <c r="AP102" i="8"/>
  <c r="DF102" i="8" s="1"/>
  <c r="AW102" i="8"/>
  <c r="AO102" i="8"/>
  <c r="AV102" i="8"/>
  <c r="AU102" i="8"/>
  <c r="DH102" i="8" s="1"/>
  <c r="BB102" i="8"/>
  <c r="AT102" i="8"/>
  <c r="DG102" i="8" s="1"/>
  <c r="W105" i="8"/>
  <c r="O105" i="8"/>
  <c r="V105" i="8"/>
  <c r="DA105" i="8" s="1"/>
  <c r="N105" i="8"/>
  <c r="CX105" i="8" s="1"/>
  <c r="U105" i="8"/>
  <c r="M105" i="8"/>
  <c r="T105" i="8"/>
  <c r="S105" i="8"/>
  <c r="CZ105" i="8" s="1"/>
  <c r="Z105" i="8"/>
  <c r="R105" i="8"/>
  <c r="CY105" i="8" s="1"/>
  <c r="Y105" i="8"/>
  <c r="Q105" i="8"/>
  <c r="P105" i="8"/>
  <c r="X105" i="8"/>
  <c r="Y56" i="8"/>
  <c r="Q56" i="8"/>
  <c r="X56" i="8"/>
  <c r="P56" i="8"/>
  <c r="W56" i="8"/>
  <c r="O56" i="8"/>
  <c r="V56" i="8"/>
  <c r="DA56" i="8" s="1"/>
  <c r="N56" i="8"/>
  <c r="CX56" i="8" s="1"/>
  <c r="U56" i="8"/>
  <c r="M56" i="8"/>
  <c r="T56" i="8"/>
  <c r="R56" i="8"/>
  <c r="S56" i="8"/>
  <c r="Z56" i="8"/>
  <c r="BY106" i="8"/>
  <c r="BQ106" i="8"/>
  <c r="BX106" i="8"/>
  <c r="BW106" i="8"/>
  <c r="DP106" i="8" s="1"/>
  <c r="CD106" i="8"/>
  <c r="BV106" i="8"/>
  <c r="DO106" i="8" s="1"/>
  <c r="CC106" i="8"/>
  <c r="BU106" i="8"/>
  <c r="CB106" i="8"/>
  <c r="BT106" i="8"/>
  <c r="CA106" i="8"/>
  <c r="BS106" i="8"/>
  <c r="BZ106" i="8"/>
  <c r="DQ106" i="8" s="1"/>
  <c r="BR106" i="8"/>
  <c r="DN106" i="8" s="1"/>
  <c r="BM99" i="8"/>
  <c r="BE99" i="8"/>
  <c r="BL99" i="8"/>
  <c r="DM99" i="8" s="1"/>
  <c r="BD99" i="8"/>
  <c r="DJ99" i="8" s="1"/>
  <c r="BK99" i="8"/>
  <c r="BC99" i="8"/>
  <c r="BJ99" i="8"/>
  <c r="BI99" i="8"/>
  <c r="DL99" i="8" s="1"/>
  <c r="BP99" i="8"/>
  <c r="BH99" i="8"/>
  <c r="DK99" i="8" s="1"/>
  <c r="BO99" i="8"/>
  <c r="BG99" i="8"/>
  <c r="BN99" i="8"/>
  <c r="BF99" i="8"/>
  <c r="AH45" i="8"/>
  <c r="AG45" i="8"/>
  <c r="DD45" i="8" s="1"/>
  <c r="AF45" i="8"/>
  <c r="DC45" i="8" s="1"/>
  <c r="AM45" i="8"/>
  <c r="AE45" i="8"/>
  <c r="AL45" i="8"/>
  <c r="AD45" i="8"/>
  <c r="AK45" i="8"/>
  <c r="AC45" i="8"/>
  <c r="AJ45" i="8"/>
  <c r="DE45" i="8" s="1"/>
  <c r="AI45" i="8"/>
  <c r="AB45" i="8"/>
  <c r="DB45" i="8" s="1"/>
  <c r="AA45" i="8"/>
  <c r="AN45" i="8"/>
  <c r="BW101" i="8"/>
  <c r="DP101" i="8" s="1"/>
  <c r="CD101" i="8"/>
  <c r="BV101" i="8"/>
  <c r="DO101" i="8" s="1"/>
  <c r="CC101" i="8"/>
  <c r="BU101" i="8"/>
  <c r="CB101" i="8"/>
  <c r="BT101" i="8"/>
  <c r="CA101" i="8"/>
  <c r="BS101" i="8"/>
  <c r="BZ101" i="8"/>
  <c r="DQ101" i="8" s="1"/>
  <c r="BR101" i="8"/>
  <c r="DN101" i="8" s="1"/>
  <c r="BY101" i="8"/>
  <c r="BQ101" i="8"/>
  <c r="BX101" i="8"/>
  <c r="X48" i="8"/>
  <c r="P48" i="8"/>
  <c r="W48" i="8"/>
  <c r="O48" i="8"/>
  <c r="N48" i="8"/>
  <c r="CX48" i="8" s="1"/>
  <c r="V48" i="8"/>
  <c r="DA48" i="8" s="1"/>
  <c r="U48" i="8"/>
  <c r="M48" i="8"/>
  <c r="S48" i="8"/>
  <c r="CZ48" i="8" s="1"/>
  <c r="Q48" i="8"/>
  <c r="T48" i="8"/>
  <c r="R48" i="8"/>
  <c r="CY48" i="8" s="1"/>
  <c r="Y48" i="8"/>
  <c r="Z48" i="8"/>
  <c r="AV106" i="8"/>
  <c r="AU106" i="8"/>
  <c r="DH106" i="8" s="1"/>
  <c r="BB106" i="8"/>
  <c r="AT106" i="8"/>
  <c r="DG106" i="8" s="1"/>
  <c r="AZ106" i="8"/>
  <c r="AR106" i="8"/>
  <c r="AY106" i="8"/>
  <c r="AX106" i="8"/>
  <c r="DI106" i="8" s="1"/>
  <c r="AW106" i="8"/>
  <c r="AS106" i="8"/>
  <c r="AQ106" i="8"/>
  <c r="AP106" i="8"/>
  <c r="DF106" i="8" s="1"/>
  <c r="AO106" i="8"/>
  <c r="BA106" i="8"/>
  <c r="I284" i="8"/>
  <c r="J284" i="8" s="1"/>
  <c r="Q103" i="8"/>
  <c r="T103" i="8"/>
  <c r="AZ50" i="8"/>
  <c r="AR50" i="8"/>
  <c r="AY50" i="8"/>
  <c r="AQ50" i="8"/>
  <c r="AX50" i="8"/>
  <c r="DI50" i="8" s="1"/>
  <c r="AP50" i="8"/>
  <c r="DF50" i="8" s="1"/>
  <c r="AW50" i="8"/>
  <c r="AO50" i="8"/>
  <c r="AV50" i="8"/>
  <c r="AU50" i="8"/>
  <c r="DH50" i="8" s="1"/>
  <c r="AT50" i="8"/>
  <c r="DG50" i="8" s="1"/>
  <c r="BA50" i="8"/>
  <c r="AS50" i="8"/>
  <c r="BB50" i="8"/>
  <c r="AW100" i="8"/>
  <c r="AO100" i="8"/>
  <c r="AV100" i="8"/>
  <c r="AU100" i="8"/>
  <c r="DH100" i="8" s="1"/>
  <c r="BB100" i="8"/>
  <c r="AT100" i="8"/>
  <c r="DG100" i="8" s="1"/>
  <c r="BA100" i="8"/>
  <c r="AS100" i="8"/>
  <c r="AZ100" i="8"/>
  <c r="AR100" i="8"/>
  <c r="AY100" i="8"/>
  <c r="AQ100" i="8"/>
  <c r="AX100" i="8"/>
  <c r="DI100" i="8" s="1"/>
  <c r="AP100" i="8"/>
  <c r="DF100" i="8" s="1"/>
  <c r="T96" i="8"/>
  <c r="S96" i="8"/>
  <c r="CZ96" i="8" s="1"/>
  <c r="Z96" i="8"/>
  <c r="R96" i="8"/>
  <c r="CY96" i="8" s="1"/>
  <c r="X96" i="8"/>
  <c r="P96" i="8"/>
  <c r="W96" i="8"/>
  <c r="O96" i="8"/>
  <c r="N96" i="8"/>
  <c r="CX96" i="8" s="1"/>
  <c r="M96" i="8"/>
  <c r="Q96" i="8"/>
  <c r="Y96" i="8"/>
  <c r="V96" i="8"/>
  <c r="DA96" i="8" s="1"/>
  <c r="U96" i="8"/>
  <c r="S54" i="8"/>
  <c r="CZ54" i="8" s="1"/>
  <c r="R54" i="8"/>
  <c r="CY54" i="8" s="1"/>
  <c r="Y54" i="8"/>
  <c r="Q54" i="8"/>
  <c r="X54" i="8"/>
  <c r="P54" i="8"/>
  <c r="V54" i="8"/>
  <c r="DA54" i="8" s="1"/>
  <c r="N54" i="8"/>
  <c r="CX54" i="8" s="1"/>
  <c r="U54" i="8"/>
  <c r="W54" i="8"/>
  <c r="T54" i="8"/>
  <c r="O54" i="8"/>
  <c r="M54" i="8"/>
  <c r="Z54" i="8"/>
  <c r="AW104" i="8"/>
  <c r="AO104" i="8"/>
  <c r="AV104" i="8"/>
  <c r="AU104" i="8"/>
  <c r="DH104" i="8" s="1"/>
  <c r="BB104" i="8"/>
  <c r="AT104" i="8"/>
  <c r="DG104" i="8" s="1"/>
  <c r="BA104" i="8"/>
  <c r="AS104" i="8"/>
  <c r="AZ104" i="8"/>
  <c r="AR104" i="8"/>
  <c r="AY104" i="8"/>
  <c r="AQ104" i="8"/>
  <c r="AP104" i="8"/>
  <c r="DF104" i="8" s="1"/>
  <c r="AX104" i="8"/>
  <c r="DI104" i="8" s="1"/>
  <c r="BI47" i="8"/>
  <c r="DL47" i="8" s="1"/>
  <c r="BH47" i="8"/>
  <c r="DK47" i="8" s="1"/>
  <c r="BO47" i="8"/>
  <c r="BG47" i="8"/>
  <c r="BN47" i="8"/>
  <c r="BF47" i="8"/>
  <c r="BM47" i="8"/>
  <c r="BE47" i="8"/>
  <c r="BL47" i="8"/>
  <c r="DM47" i="8" s="1"/>
  <c r="BD47" i="8"/>
  <c r="DJ47" i="8" s="1"/>
  <c r="BK47" i="8"/>
  <c r="BC47" i="8"/>
  <c r="BJ47" i="8"/>
  <c r="BP47" i="8"/>
  <c r="BH52" i="8"/>
  <c r="DK52" i="8" s="1"/>
  <c r="BO52" i="8"/>
  <c r="BG52" i="8"/>
  <c r="BN52" i="8"/>
  <c r="BF52" i="8"/>
  <c r="BM52" i="8"/>
  <c r="BE52" i="8"/>
  <c r="BL52" i="8"/>
  <c r="DM52" i="8" s="1"/>
  <c r="BD52" i="8"/>
  <c r="DJ52" i="8" s="1"/>
  <c r="BK52" i="8"/>
  <c r="BC52" i="8"/>
  <c r="BJ52" i="8"/>
  <c r="BI52" i="8"/>
  <c r="DL52" i="8" s="1"/>
  <c r="BP52" i="8"/>
  <c r="BY102" i="8"/>
  <c r="BQ102" i="8"/>
  <c r="BX102" i="8"/>
  <c r="BW102" i="8"/>
  <c r="DP102" i="8" s="1"/>
  <c r="CD102" i="8"/>
  <c r="BV102" i="8"/>
  <c r="DO102" i="8" s="1"/>
  <c r="CC102" i="8"/>
  <c r="BU102" i="8"/>
  <c r="CB102" i="8"/>
  <c r="BT102" i="8"/>
  <c r="CA102" i="8"/>
  <c r="BS102" i="8"/>
  <c r="BR102" i="8"/>
  <c r="DN102" i="8" s="1"/>
  <c r="BZ102" i="8"/>
  <c r="DQ102" i="8" s="1"/>
  <c r="BI55" i="8"/>
  <c r="DL55" i="8" s="1"/>
  <c r="BH55" i="8"/>
  <c r="DK55" i="8" s="1"/>
  <c r="BO55" i="8"/>
  <c r="BG55" i="8"/>
  <c r="BN55" i="8"/>
  <c r="BF55" i="8"/>
  <c r="BM55" i="8"/>
  <c r="BE55" i="8"/>
  <c r="BL55" i="8"/>
  <c r="DM55" i="8" s="1"/>
  <c r="BD55" i="8"/>
  <c r="DJ55" i="8" s="1"/>
  <c r="BK55" i="8"/>
  <c r="BC55" i="8"/>
  <c r="BJ55" i="8"/>
  <c r="BP55" i="8"/>
  <c r="BB105" i="8"/>
  <c r="AY105" i="8"/>
  <c r="AQ105" i="8"/>
  <c r="AX105" i="8"/>
  <c r="DI105" i="8" s="1"/>
  <c r="AP105" i="8"/>
  <c r="DF105" i="8" s="1"/>
  <c r="AW105" i="8"/>
  <c r="AO105" i="8"/>
  <c r="AV105" i="8"/>
  <c r="AU105" i="8"/>
  <c r="DH105" i="8" s="1"/>
  <c r="AT105" i="8"/>
  <c r="DG105" i="8" s="1"/>
  <c r="BA105" i="8"/>
  <c r="AS105" i="8"/>
  <c r="AZ105" i="8"/>
  <c r="AR105" i="8"/>
  <c r="AJ56" i="8"/>
  <c r="DE56" i="8" s="1"/>
  <c r="AB56" i="8"/>
  <c r="DB56" i="8" s="1"/>
  <c r="AI56" i="8"/>
  <c r="AA56" i="8"/>
  <c r="AH56" i="8"/>
  <c r="AG56" i="8"/>
  <c r="DD56" i="8" s="1"/>
  <c r="AF56" i="8"/>
  <c r="DC56" i="8" s="1"/>
  <c r="AM56" i="8"/>
  <c r="AE56" i="8"/>
  <c r="AL56" i="8"/>
  <c r="AD56" i="8"/>
  <c r="AC56" i="8"/>
  <c r="AK56" i="8"/>
  <c r="AN56" i="8"/>
  <c r="BA45" i="8"/>
  <c r="AS45" i="8"/>
  <c r="AZ45" i="8"/>
  <c r="AR45" i="8"/>
  <c r="AY45" i="8"/>
  <c r="AQ45" i="8"/>
  <c r="AX45" i="8"/>
  <c r="DI45" i="8" s="1"/>
  <c r="AP45" i="8"/>
  <c r="DF45" i="8" s="1"/>
  <c r="AW45" i="8"/>
  <c r="AO45" i="8"/>
  <c r="AV45" i="8"/>
  <c r="AU45" i="8"/>
  <c r="DH45" i="8" s="1"/>
  <c r="AT45" i="8"/>
  <c r="DG45" i="8" s="1"/>
  <c r="BB45" i="8"/>
  <c r="R101" i="8"/>
  <c r="CY101" i="8" s="1"/>
  <c r="BY98" i="8"/>
  <c r="BQ98" i="8"/>
  <c r="BX98" i="8"/>
  <c r="BW98" i="8"/>
  <c r="DP98" i="8" s="1"/>
  <c r="CD98" i="8"/>
  <c r="BV98" i="8"/>
  <c r="DO98" i="8" s="1"/>
  <c r="CC98" i="8"/>
  <c r="BU98" i="8"/>
  <c r="CB98" i="8"/>
  <c r="BT98" i="8"/>
  <c r="CA98" i="8"/>
  <c r="BS98" i="8"/>
  <c r="BZ98" i="8"/>
  <c r="DQ98" i="8" s="1"/>
  <c r="BR98" i="8"/>
  <c r="DN98" i="8" s="1"/>
  <c r="AH53" i="8"/>
  <c r="AG53" i="8"/>
  <c r="DD53" i="8" s="1"/>
  <c r="AF53" i="8"/>
  <c r="DC53" i="8" s="1"/>
  <c r="AM53" i="8"/>
  <c r="AE53" i="8"/>
  <c r="AL53" i="8"/>
  <c r="AD53" i="8"/>
  <c r="AK53" i="8"/>
  <c r="AC53" i="8"/>
  <c r="AI53" i="8"/>
  <c r="AB53" i="8"/>
  <c r="DB53" i="8" s="1"/>
  <c r="AA53" i="8"/>
  <c r="AJ53" i="8"/>
  <c r="DE53" i="8" s="1"/>
  <c r="AN53" i="8"/>
  <c r="BL95" i="8"/>
  <c r="DM95" i="8" s="1"/>
  <c r="BD95" i="8"/>
  <c r="DJ95" i="8" s="1"/>
  <c r="BK95" i="8"/>
  <c r="BC95" i="8"/>
  <c r="BJ95" i="8"/>
  <c r="BP95" i="8"/>
  <c r="BH95" i="8"/>
  <c r="DK95" i="8" s="1"/>
  <c r="BO95" i="8"/>
  <c r="BG95" i="8"/>
  <c r="BN95" i="8"/>
  <c r="BM95" i="8"/>
  <c r="BI95" i="8"/>
  <c r="DL95" i="8" s="1"/>
  <c r="BF95" i="8"/>
  <c r="BE95" i="8"/>
  <c r="AU103" i="8"/>
  <c r="DH103" i="8" s="1"/>
  <c r="BB103" i="8"/>
  <c r="AT103" i="8"/>
  <c r="DG103" i="8" s="1"/>
  <c r="BA103" i="8"/>
  <c r="AS103" i="8"/>
  <c r="AZ103" i="8"/>
  <c r="AR103" i="8"/>
  <c r="AY103" i="8"/>
  <c r="AQ103" i="8"/>
  <c r="AX103" i="8"/>
  <c r="DI103" i="8" s="1"/>
  <c r="AP103" i="8"/>
  <c r="DF103" i="8" s="1"/>
  <c r="AW103" i="8"/>
  <c r="AO103" i="8"/>
  <c r="AV103" i="8"/>
  <c r="CB50" i="8"/>
  <c r="BT50" i="8"/>
  <c r="CA50" i="8"/>
  <c r="BS50" i="8"/>
  <c r="BZ50" i="8"/>
  <c r="DQ50" i="8" s="1"/>
  <c r="BR50" i="8"/>
  <c r="DN50" i="8" s="1"/>
  <c r="BY50" i="8"/>
  <c r="BQ50" i="8"/>
  <c r="BX50" i="8"/>
  <c r="BW50" i="8"/>
  <c r="DP50" i="8" s="1"/>
  <c r="BV50" i="8"/>
  <c r="DO50" i="8" s="1"/>
  <c r="CC50" i="8"/>
  <c r="BU50" i="8"/>
  <c r="CD50" i="8"/>
  <c r="CC100" i="8"/>
  <c r="BU100" i="8"/>
  <c r="CB100" i="8"/>
  <c r="BT100" i="8"/>
  <c r="CA100" i="8"/>
  <c r="BS100" i="8"/>
  <c r="BZ100" i="8"/>
  <c r="DQ100" i="8" s="1"/>
  <c r="BR100" i="8"/>
  <c r="DN100" i="8" s="1"/>
  <c r="BY100" i="8"/>
  <c r="BQ100" i="8"/>
  <c r="BX100" i="8"/>
  <c r="BW100" i="8"/>
  <c r="DP100" i="8" s="1"/>
  <c r="CD100" i="8"/>
  <c r="BV100" i="8"/>
  <c r="DO100" i="8" s="1"/>
  <c r="AI96" i="8"/>
  <c r="AA96" i="8"/>
  <c r="AH96" i="8"/>
  <c r="AG96" i="8"/>
  <c r="DD96" i="8" s="1"/>
  <c r="AN96" i="8"/>
  <c r="AF96" i="8"/>
  <c r="DC96" i="8" s="1"/>
  <c r="AM96" i="8"/>
  <c r="AE96" i="8"/>
  <c r="AL96" i="8"/>
  <c r="AD96" i="8"/>
  <c r="AK96" i="8"/>
  <c r="AC96" i="8"/>
  <c r="AJ96" i="8"/>
  <c r="DE96" i="8" s="1"/>
  <c r="AB96" i="8"/>
  <c r="DB96" i="8" s="1"/>
  <c r="AV54" i="8"/>
  <c r="AU54" i="8"/>
  <c r="DH54" i="8" s="1"/>
  <c r="AT54" i="8"/>
  <c r="DG54" i="8" s="1"/>
  <c r="BA54" i="8"/>
  <c r="AS54" i="8"/>
  <c r="AZ54" i="8"/>
  <c r="AR54" i="8"/>
  <c r="AY54" i="8"/>
  <c r="AQ54" i="8"/>
  <c r="AX54" i="8"/>
  <c r="DI54" i="8" s="1"/>
  <c r="AP54" i="8"/>
  <c r="DF54" i="8" s="1"/>
  <c r="AO54" i="8"/>
  <c r="AW54" i="8"/>
  <c r="BB54" i="8"/>
  <c r="CC104" i="8"/>
  <c r="BU104" i="8"/>
  <c r="CB104" i="8"/>
  <c r="BT104" i="8"/>
  <c r="CA104" i="8"/>
  <c r="BS104" i="8"/>
  <c r="BZ104" i="8"/>
  <c r="DQ104" i="8" s="1"/>
  <c r="BR104" i="8"/>
  <c r="DN104" i="8" s="1"/>
  <c r="BY104" i="8"/>
  <c r="BQ104" i="8"/>
  <c r="BX104" i="8"/>
  <c r="BW104" i="8"/>
  <c r="DP104" i="8" s="1"/>
  <c r="CD104" i="8"/>
  <c r="BV104" i="8"/>
  <c r="DO104" i="8" s="1"/>
  <c r="X102" i="8"/>
  <c r="P102" i="8"/>
  <c r="W102" i="8"/>
  <c r="O102" i="8"/>
  <c r="V102" i="8"/>
  <c r="DA102" i="8" s="1"/>
  <c r="N102" i="8"/>
  <c r="CX102" i="8" s="1"/>
  <c r="T102" i="8"/>
  <c r="S102" i="8"/>
  <c r="CZ102" i="8" s="1"/>
  <c r="M102" i="8"/>
  <c r="Q102" i="8"/>
  <c r="R102" i="8"/>
  <c r="CY102" i="8" s="1"/>
  <c r="Z102" i="8"/>
  <c r="Y102" i="8"/>
  <c r="U102" i="8"/>
  <c r="AF55" i="8"/>
  <c r="DC55" i="8" s="1"/>
  <c r="AM55" i="8"/>
  <c r="AE55" i="8"/>
  <c r="AL55" i="8"/>
  <c r="AD55" i="8"/>
  <c r="AK55" i="8"/>
  <c r="AC55" i="8"/>
  <c r="AJ55" i="8"/>
  <c r="DE55" i="8" s="1"/>
  <c r="AB55" i="8"/>
  <c r="DB55" i="8" s="1"/>
  <c r="AI55" i="8"/>
  <c r="AA55" i="8"/>
  <c r="AH55" i="8"/>
  <c r="AG55" i="8"/>
  <c r="DD55" i="8" s="1"/>
  <c r="AN55" i="8"/>
  <c r="AK105" i="8"/>
  <c r="AC105" i="8"/>
  <c r="AJ105" i="8"/>
  <c r="DE105" i="8" s="1"/>
  <c r="AB105" i="8"/>
  <c r="DB105" i="8" s="1"/>
  <c r="AI105" i="8"/>
  <c r="AA105" i="8"/>
  <c r="AH105" i="8"/>
  <c r="AG105" i="8"/>
  <c r="DD105" i="8" s="1"/>
  <c r="AN105" i="8"/>
  <c r="AF105" i="8"/>
  <c r="DC105" i="8" s="1"/>
  <c r="AM105" i="8"/>
  <c r="AE105" i="8"/>
  <c r="AL105" i="8"/>
  <c r="AD105" i="8"/>
  <c r="AT56" i="8"/>
  <c r="DG56" i="8" s="1"/>
  <c r="BA56" i="8"/>
  <c r="AS56" i="8"/>
  <c r="AZ56" i="8"/>
  <c r="AR56" i="8"/>
  <c r="AY56" i="8"/>
  <c r="AQ56" i="8"/>
  <c r="AX56" i="8"/>
  <c r="DI56" i="8" s="1"/>
  <c r="AP56" i="8"/>
  <c r="DF56" i="8" s="1"/>
  <c r="AW56" i="8"/>
  <c r="AO56" i="8"/>
  <c r="AV56" i="8"/>
  <c r="AU56" i="8"/>
  <c r="DH56" i="8" s="1"/>
  <c r="BB56" i="8"/>
  <c r="BY49" i="8"/>
  <c r="BQ49" i="8"/>
  <c r="BX49" i="8"/>
  <c r="BW49" i="8"/>
  <c r="DP49" i="8" s="1"/>
  <c r="BV49" i="8"/>
  <c r="DO49" i="8" s="1"/>
  <c r="CC49" i="8"/>
  <c r="BU49" i="8"/>
  <c r="CB49" i="8"/>
  <c r="BT49" i="8"/>
  <c r="CA49" i="8"/>
  <c r="BS49" i="8"/>
  <c r="BZ49" i="8"/>
  <c r="DQ49" i="8" s="1"/>
  <c r="BR49" i="8"/>
  <c r="DN49" i="8" s="1"/>
  <c r="CD49" i="8"/>
  <c r="N99" i="8"/>
  <c r="CX99" i="8" s="1"/>
  <c r="BK45" i="8"/>
  <c r="BC45" i="8"/>
  <c r="BJ45" i="8"/>
  <c r="BI45" i="8"/>
  <c r="DL45" i="8" s="1"/>
  <c r="BH45" i="8"/>
  <c r="DK45" i="8" s="1"/>
  <c r="BO45" i="8"/>
  <c r="BG45" i="8"/>
  <c r="BN45" i="8"/>
  <c r="BF45" i="8"/>
  <c r="BM45" i="8"/>
  <c r="BE45" i="8"/>
  <c r="BL45" i="8"/>
  <c r="DM45" i="8" s="1"/>
  <c r="BD45" i="8"/>
  <c r="DJ45" i="8" s="1"/>
  <c r="BP45" i="8"/>
  <c r="BM51" i="8"/>
  <c r="BE51" i="8"/>
  <c r="BL51" i="8"/>
  <c r="DM51" i="8" s="1"/>
  <c r="BD51" i="8"/>
  <c r="DJ51" i="8" s="1"/>
  <c r="BK51" i="8"/>
  <c r="BC51" i="8"/>
  <c r="BJ51" i="8"/>
  <c r="BI51" i="8"/>
  <c r="DL51" i="8" s="1"/>
  <c r="BH51" i="8"/>
  <c r="DK51" i="8" s="1"/>
  <c r="BO51" i="8"/>
  <c r="BG51" i="8"/>
  <c r="BN51" i="8"/>
  <c r="BF51" i="8"/>
  <c r="BP51" i="8"/>
  <c r="AY101" i="8"/>
  <c r="AQ101" i="8"/>
  <c r="AX101" i="8"/>
  <c r="DI101" i="8" s="1"/>
  <c r="AP101" i="8"/>
  <c r="DF101" i="8" s="1"/>
  <c r="AW101" i="8"/>
  <c r="AO101" i="8"/>
  <c r="AV101" i="8"/>
  <c r="AU101" i="8"/>
  <c r="DH101" i="8" s="1"/>
  <c r="BB101" i="8"/>
  <c r="AT101" i="8"/>
  <c r="DG101" i="8" s="1"/>
  <c r="BA101" i="8"/>
  <c r="AS101" i="8"/>
  <c r="AZ101" i="8"/>
  <c r="AR101" i="8"/>
  <c r="AI48" i="8"/>
  <c r="AA48" i="8"/>
  <c r="AH48" i="8"/>
  <c r="AG48" i="8"/>
  <c r="DD48" i="8" s="1"/>
  <c r="AF48" i="8"/>
  <c r="DC48" i="8" s="1"/>
  <c r="AM48" i="8"/>
  <c r="AE48" i="8"/>
  <c r="AL48" i="8"/>
  <c r="AD48" i="8"/>
  <c r="AJ48" i="8"/>
  <c r="DE48" i="8" s="1"/>
  <c r="AC48" i="8"/>
  <c r="AB48" i="8"/>
  <c r="DB48" i="8" s="1"/>
  <c r="AK48" i="8"/>
  <c r="AN48" i="8"/>
  <c r="BX46" i="8"/>
  <c r="BW46" i="8"/>
  <c r="DP46" i="8" s="1"/>
  <c r="BV46" i="8"/>
  <c r="DO46" i="8" s="1"/>
  <c r="CC46" i="8"/>
  <c r="BU46" i="8"/>
  <c r="CB46" i="8"/>
  <c r="BT46" i="8"/>
  <c r="CA46" i="8"/>
  <c r="BS46" i="8"/>
  <c r="BZ46" i="8"/>
  <c r="DQ46" i="8" s="1"/>
  <c r="BR46" i="8"/>
  <c r="DN46" i="8" s="1"/>
  <c r="BY46" i="8"/>
  <c r="BQ46" i="8"/>
  <c r="CD46" i="8"/>
  <c r="BI105" i="8"/>
  <c r="DL105" i="8" s="1"/>
  <c r="BP105" i="8"/>
  <c r="BH105" i="8"/>
  <c r="DK105" i="8" s="1"/>
  <c r="BO105" i="8"/>
  <c r="BG105" i="8"/>
  <c r="BN105" i="8"/>
  <c r="BF105" i="8"/>
  <c r="BM105" i="8"/>
  <c r="BE105" i="8"/>
  <c r="BL105" i="8"/>
  <c r="DM105" i="8" s="1"/>
  <c r="BD105" i="8"/>
  <c r="DJ105" i="8" s="1"/>
  <c r="BK105" i="8"/>
  <c r="BC105" i="8"/>
  <c r="BJ105" i="8"/>
  <c r="M51" i="8"/>
  <c r="N51" i="8"/>
  <c r="CX51" i="8" s="1"/>
  <c r="R51" i="8"/>
  <c r="CY51" i="8" s="1"/>
  <c r="Y51" i="8"/>
  <c r="Q51" i="8"/>
  <c r="X51" i="8"/>
  <c r="P51" i="8"/>
  <c r="W51" i="8"/>
  <c r="O51" i="8"/>
  <c r="U51" i="8"/>
  <c r="T51" i="8"/>
  <c r="S51" i="8"/>
  <c r="CZ51" i="8" s="1"/>
  <c r="V51" i="8"/>
  <c r="DA51" i="8" s="1"/>
  <c r="Z51" i="8"/>
  <c r="CA103" i="8"/>
  <c r="BS103" i="8"/>
  <c r="BZ103" i="8"/>
  <c r="DQ103" i="8" s="1"/>
  <c r="BR103" i="8"/>
  <c r="DN103" i="8" s="1"/>
  <c r="BY103" i="8"/>
  <c r="BQ103" i="8"/>
  <c r="BX103" i="8"/>
  <c r="BW103" i="8"/>
  <c r="DP103" i="8" s="1"/>
  <c r="CD103" i="8"/>
  <c r="BV103" i="8"/>
  <c r="DO103" i="8" s="1"/>
  <c r="CC103" i="8"/>
  <c r="BU103" i="8"/>
  <c r="CB103" i="8"/>
  <c r="BT103" i="8"/>
  <c r="BJ50" i="8"/>
  <c r="BI50" i="8"/>
  <c r="DL50" i="8" s="1"/>
  <c r="BH50" i="8"/>
  <c r="DK50" i="8" s="1"/>
  <c r="BO50" i="8"/>
  <c r="BG50" i="8"/>
  <c r="BN50" i="8"/>
  <c r="BF50" i="8"/>
  <c r="BM50" i="8"/>
  <c r="BE50" i="8"/>
  <c r="BL50" i="8"/>
  <c r="DM50" i="8" s="1"/>
  <c r="BD50" i="8"/>
  <c r="DJ50" i="8" s="1"/>
  <c r="BK50" i="8"/>
  <c r="BC50" i="8"/>
  <c r="BP50" i="8"/>
  <c r="AV46" i="8"/>
  <c r="AU46" i="8"/>
  <c r="DH46" i="8" s="1"/>
  <c r="AT46" i="8"/>
  <c r="DG46" i="8" s="1"/>
  <c r="BA46" i="8"/>
  <c r="AS46" i="8"/>
  <c r="AZ46" i="8"/>
  <c r="AR46" i="8"/>
  <c r="AY46" i="8"/>
  <c r="AQ46" i="8"/>
  <c r="AX46" i="8"/>
  <c r="DI46" i="8" s="1"/>
  <c r="AP46" i="8"/>
  <c r="DF46" i="8" s="1"/>
  <c r="AW46" i="8"/>
  <c r="AO46" i="8"/>
  <c r="BB46" i="8"/>
  <c r="AW96" i="8"/>
  <c r="AO96" i="8"/>
  <c r="AV96" i="8"/>
  <c r="AU96" i="8"/>
  <c r="DH96" i="8" s="1"/>
  <c r="BB96" i="8"/>
  <c r="AT96" i="8"/>
  <c r="DG96" i="8" s="1"/>
  <c r="BA96" i="8"/>
  <c r="AS96" i="8"/>
  <c r="AZ96" i="8"/>
  <c r="AR96" i="8"/>
  <c r="AY96" i="8"/>
  <c r="AQ96" i="8"/>
  <c r="AX96" i="8"/>
  <c r="DI96" i="8" s="1"/>
  <c r="AP96" i="8"/>
  <c r="DF96" i="8" s="1"/>
  <c r="BX54" i="8"/>
  <c r="BW54" i="8"/>
  <c r="DP54" i="8" s="1"/>
  <c r="BV54" i="8"/>
  <c r="DO54" i="8" s="1"/>
  <c r="CC54" i="8"/>
  <c r="BU54" i="8"/>
  <c r="CB54" i="8"/>
  <c r="BT54" i="8"/>
  <c r="CA54" i="8"/>
  <c r="BS54" i="8"/>
  <c r="BZ54" i="8"/>
  <c r="DQ54" i="8" s="1"/>
  <c r="BR54" i="8"/>
  <c r="DN54" i="8" s="1"/>
  <c r="BY54" i="8"/>
  <c r="BQ54" i="8"/>
  <c r="CD54" i="8"/>
  <c r="BO104" i="8"/>
  <c r="BG104" i="8"/>
  <c r="BN104" i="8"/>
  <c r="BF104" i="8"/>
  <c r="BM104" i="8"/>
  <c r="BE104" i="8"/>
  <c r="BL104" i="8"/>
  <c r="DM104" i="8" s="1"/>
  <c r="BD104" i="8"/>
  <c r="DJ104" i="8" s="1"/>
  <c r="BK104" i="8"/>
  <c r="BC104" i="8"/>
  <c r="BJ104" i="8"/>
  <c r="BI104" i="8"/>
  <c r="DL104" i="8" s="1"/>
  <c r="BP104" i="8"/>
  <c r="BH104" i="8"/>
  <c r="DK104" i="8" s="1"/>
  <c r="BW97" i="8"/>
  <c r="DP97" i="8" s="1"/>
  <c r="CD97" i="8"/>
  <c r="BV97" i="8"/>
  <c r="DO97" i="8" s="1"/>
  <c r="CC97" i="8"/>
  <c r="BU97" i="8"/>
  <c r="CB97" i="8"/>
  <c r="BT97" i="8"/>
  <c r="CA97" i="8"/>
  <c r="BS97" i="8"/>
  <c r="BZ97" i="8"/>
  <c r="DQ97" i="8" s="1"/>
  <c r="BR97" i="8"/>
  <c r="DN97" i="8" s="1"/>
  <c r="BY97" i="8"/>
  <c r="BQ97" i="8"/>
  <c r="BX97" i="8"/>
  <c r="AX52" i="8"/>
  <c r="DI52" i="8" s="1"/>
  <c r="AP52" i="8"/>
  <c r="DF52" i="8" s="1"/>
  <c r="AW52" i="8"/>
  <c r="AO52" i="8"/>
  <c r="AV52" i="8"/>
  <c r="AU52" i="8"/>
  <c r="DH52" i="8" s="1"/>
  <c r="AT52" i="8"/>
  <c r="DG52" i="8" s="1"/>
  <c r="BA52" i="8"/>
  <c r="AS52" i="8"/>
  <c r="AZ52" i="8"/>
  <c r="AR52" i="8"/>
  <c r="AY52" i="8"/>
  <c r="AQ52" i="8"/>
  <c r="BB52" i="8"/>
  <c r="BK102" i="8"/>
  <c r="BC102" i="8"/>
  <c r="BJ102" i="8"/>
  <c r="BI102" i="8"/>
  <c r="DL102" i="8" s="1"/>
  <c r="BP102" i="8"/>
  <c r="BH102" i="8"/>
  <c r="DK102" i="8" s="1"/>
  <c r="BO102" i="8"/>
  <c r="BG102" i="8"/>
  <c r="BN102" i="8"/>
  <c r="BF102" i="8"/>
  <c r="BM102" i="8"/>
  <c r="BE102" i="8"/>
  <c r="BL102" i="8"/>
  <c r="DM102" i="8" s="1"/>
  <c r="BD102" i="8"/>
  <c r="DJ102" i="8" s="1"/>
  <c r="V55" i="8"/>
  <c r="DA55" i="8" s="1"/>
  <c r="N55" i="8"/>
  <c r="CX55" i="8" s="1"/>
  <c r="U55" i="8"/>
  <c r="M55" i="8"/>
  <c r="T55" i="8"/>
  <c r="S55" i="8"/>
  <c r="CZ55" i="8" s="1"/>
  <c r="Y55" i="8"/>
  <c r="Q55" i="8"/>
  <c r="W55" i="8"/>
  <c r="R55" i="8"/>
  <c r="CY55" i="8" s="1"/>
  <c r="P55" i="8"/>
  <c r="O55" i="8"/>
  <c r="X55" i="8"/>
  <c r="Z55" i="8"/>
  <c r="BW105" i="8"/>
  <c r="DP105" i="8" s="1"/>
  <c r="CD105" i="8"/>
  <c r="BV105" i="8"/>
  <c r="DO105" i="8" s="1"/>
  <c r="CC105" i="8"/>
  <c r="BU105" i="8"/>
  <c r="CB105" i="8"/>
  <c r="BT105" i="8"/>
  <c r="CA105" i="8"/>
  <c r="BS105" i="8"/>
  <c r="BZ105" i="8"/>
  <c r="DQ105" i="8" s="1"/>
  <c r="BR105" i="8"/>
  <c r="DN105" i="8" s="1"/>
  <c r="BY105" i="8"/>
  <c r="BQ105" i="8"/>
  <c r="BX105" i="8"/>
  <c r="T49" i="8"/>
  <c r="S49" i="8"/>
  <c r="CZ49" i="8" s="1"/>
  <c r="R49" i="8"/>
  <c r="CY49" i="8" s="1"/>
  <c r="Q49" i="8"/>
  <c r="W49" i="8"/>
  <c r="Y49" i="8"/>
  <c r="O49" i="8"/>
  <c r="X49" i="8"/>
  <c r="P49" i="8"/>
  <c r="V49" i="8"/>
  <c r="DA49" i="8" s="1"/>
  <c r="N49" i="8"/>
  <c r="CX49" i="8" s="1"/>
  <c r="U49" i="8"/>
  <c r="M49" i="8"/>
  <c r="Z49" i="8"/>
  <c r="AU99" i="8"/>
  <c r="DH99" i="8" s="1"/>
  <c r="BB99" i="8"/>
  <c r="AT99" i="8"/>
  <c r="DG99" i="8" s="1"/>
  <c r="BA99" i="8"/>
  <c r="AS99" i="8"/>
  <c r="AZ99" i="8"/>
  <c r="AR99" i="8"/>
  <c r="AY99" i="8"/>
  <c r="AQ99" i="8"/>
  <c r="AX99" i="8"/>
  <c r="DI99" i="8" s="1"/>
  <c r="AP99" i="8"/>
  <c r="DF99" i="8" s="1"/>
  <c r="AW99" i="8"/>
  <c r="AO99" i="8"/>
  <c r="AV99" i="8"/>
  <c r="Z95" i="8"/>
  <c r="R95" i="8"/>
  <c r="CY95" i="8" s="1"/>
  <c r="Y95" i="8"/>
  <c r="Q95" i="8"/>
  <c r="X95" i="8"/>
  <c r="P95" i="8"/>
  <c r="V95" i="8"/>
  <c r="DA95" i="8" s="1"/>
  <c r="N95" i="8"/>
  <c r="CX95" i="8" s="1"/>
  <c r="U95" i="8"/>
  <c r="M95" i="8"/>
  <c r="W95" i="8"/>
  <c r="S95" i="8"/>
  <c r="CZ95" i="8" s="1"/>
  <c r="T95" i="8"/>
  <c r="O95" i="8"/>
  <c r="AJ51" i="8"/>
  <c r="DE51" i="8" s="1"/>
  <c r="AB51" i="8"/>
  <c r="DB51" i="8" s="1"/>
  <c r="AI51" i="8"/>
  <c r="AA51" i="8"/>
  <c r="AH51" i="8"/>
  <c r="AG51" i="8"/>
  <c r="DD51" i="8" s="1"/>
  <c r="AF51" i="8"/>
  <c r="DC51" i="8" s="1"/>
  <c r="AM51" i="8"/>
  <c r="AE51" i="8"/>
  <c r="AC51" i="8"/>
  <c r="AL51" i="8"/>
  <c r="AK51" i="8"/>
  <c r="AD51" i="8"/>
  <c r="AN51" i="8"/>
  <c r="AT48" i="8"/>
  <c r="DG48" i="8" s="1"/>
  <c r="BA48" i="8"/>
  <c r="AS48" i="8"/>
  <c r="AZ48" i="8"/>
  <c r="AR48" i="8"/>
  <c r="AY48" i="8"/>
  <c r="AQ48" i="8"/>
  <c r="AX48" i="8"/>
  <c r="DI48" i="8" s="1"/>
  <c r="AP48" i="8"/>
  <c r="DF48" i="8" s="1"/>
  <c r="AW48" i="8"/>
  <c r="AO48" i="8"/>
  <c r="AV48" i="8"/>
  <c r="AU48" i="8"/>
  <c r="DH48" i="8" s="1"/>
  <c r="BB48" i="8"/>
  <c r="U104" i="8"/>
  <c r="M104" i="8"/>
  <c r="T104" i="8"/>
  <c r="S104" i="8"/>
  <c r="CZ104" i="8" s="1"/>
  <c r="Z104" i="8"/>
  <c r="R104" i="8"/>
  <c r="CY104" i="8" s="1"/>
  <c r="Y104" i="8"/>
  <c r="Q104" i="8"/>
  <c r="X104" i="8"/>
  <c r="P104" i="8"/>
  <c r="W104" i="8"/>
  <c r="O104" i="8"/>
  <c r="N104" i="8"/>
  <c r="CX104" i="8" s="1"/>
  <c r="V104" i="8"/>
  <c r="DA104" i="8" s="1"/>
  <c r="BV56" i="8"/>
  <c r="DO56" i="8" s="1"/>
  <c r="CC56" i="8"/>
  <c r="BU56" i="8"/>
  <c r="CB56" i="8"/>
  <c r="BT56" i="8"/>
  <c r="CA56" i="8"/>
  <c r="BS56" i="8"/>
  <c r="BZ56" i="8"/>
  <c r="DQ56" i="8" s="1"/>
  <c r="BR56" i="8"/>
  <c r="DN56" i="8" s="1"/>
  <c r="BY56" i="8"/>
  <c r="BQ56" i="8"/>
  <c r="BX56" i="8"/>
  <c r="BW56" i="8"/>
  <c r="DP56" i="8" s="1"/>
  <c r="CD56" i="8"/>
  <c r="AG99" i="8"/>
  <c r="DD99" i="8" s="1"/>
  <c r="AN99" i="8"/>
  <c r="AF99" i="8"/>
  <c r="DC99" i="8" s="1"/>
  <c r="AM99" i="8"/>
  <c r="AE99" i="8"/>
  <c r="AL99" i="8"/>
  <c r="AD99" i="8"/>
  <c r="AK99" i="8"/>
  <c r="AC99" i="8"/>
  <c r="AJ99" i="8"/>
  <c r="DE99" i="8" s="1"/>
  <c r="AB99" i="8"/>
  <c r="DB99" i="8" s="1"/>
  <c r="AI99" i="8"/>
  <c r="AA99" i="8"/>
  <c r="AH99" i="8"/>
  <c r="CC53" i="8"/>
  <c r="BU53" i="8"/>
  <c r="CB53" i="8"/>
  <c r="BT53" i="8"/>
  <c r="CA53" i="8"/>
  <c r="BS53" i="8"/>
  <c r="BZ53" i="8"/>
  <c r="DQ53" i="8" s="1"/>
  <c r="BR53" i="8"/>
  <c r="DN53" i="8" s="1"/>
  <c r="BY53" i="8"/>
  <c r="BQ53" i="8"/>
  <c r="BX53" i="8"/>
  <c r="BW53" i="8"/>
  <c r="DP53" i="8" s="1"/>
  <c r="BV53" i="8"/>
  <c r="DO53" i="8" s="1"/>
  <c r="CD53" i="8"/>
  <c r="AG103" i="8"/>
  <c r="DD103" i="8" s="1"/>
  <c r="AN103" i="8"/>
  <c r="AF103" i="8"/>
  <c r="DC103" i="8" s="1"/>
  <c r="AM103" i="8"/>
  <c r="AE103" i="8"/>
  <c r="AL103" i="8"/>
  <c r="AD103" i="8"/>
  <c r="AK103" i="8"/>
  <c r="AC103" i="8"/>
  <c r="AJ103" i="8"/>
  <c r="DE103" i="8" s="1"/>
  <c r="AB103" i="8"/>
  <c r="DB103" i="8" s="1"/>
  <c r="AI103" i="8"/>
  <c r="AA103" i="8"/>
  <c r="AH103" i="8"/>
  <c r="S46" i="8"/>
  <c r="CZ46" i="8" s="1"/>
  <c r="N46" i="8"/>
  <c r="CX46" i="8" s="1"/>
  <c r="R46" i="8"/>
  <c r="CY46" i="8" s="1"/>
  <c r="X46" i="8"/>
  <c r="V46" i="8"/>
  <c r="DA46" i="8" s="1"/>
  <c r="Y46" i="8"/>
  <c r="Q46" i="8"/>
  <c r="P46" i="8"/>
  <c r="W46" i="8"/>
  <c r="O46" i="8"/>
  <c r="U46" i="8"/>
  <c r="M46" i="8"/>
  <c r="T46" i="8"/>
  <c r="Z46" i="8"/>
  <c r="CC96" i="8"/>
  <c r="BU96" i="8"/>
  <c r="CB96" i="8"/>
  <c r="BT96" i="8"/>
  <c r="CA96" i="8"/>
  <c r="BS96" i="8"/>
  <c r="BZ96" i="8"/>
  <c r="DQ96" i="8" s="1"/>
  <c r="BR96" i="8"/>
  <c r="DN96" i="8" s="1"/>
  <c r="BY96" i="8"/>
  <c r="BQ96" i="8"/>
  <c r="BX96" i="8"/>
  <c r="BW96" i="8"/>
  <c r="DP96" i="8" s="1"/>
  <c r="CD96" i="8"/>
  <c r="BV96" i="8"/>
  <c r="DO96" i="8" s="1"/>
  <c r="AK54" i="8"/>
  <c r="AC54" i="8"/>
  <c r="AJ54" i="8"/>
  <c r="DE54" i="8" s="1"/>
  <c r="AB54" i="8"/>
  <c r="DB54" i="8" s="1"/>
  <c r="AI54" i="8"/>
  <c r="AA54" i="8"/>
  <c r="AH54" i="8"/>
  <c r="AG54" i="8"/>
  <c r="DD54" i="8" s="1"/>
  <c r="AF54" i="8"/>
  <c r="DC54" i="8" s="1"/>
  <c r="AM54" i="8"/>
  <c r="AL54" i="8"/>
  <c r="AD54" i="8"/>
  <c r="AE54" i="8"/>
  <c r="AN54" i="8"/>
  <c r="Y97" i="8"/>
  <c r="BZ52" i="8"/>
  <c r="DQ52" i="8" s="1"/>
  <c r="BR52" i="8"/>
  <c r="DN52" i="8" s="1"/>
  <c r="BY52" i="8"/>
  <c r="BQ52" i="8"/>
  <c r="BX52" i="8"/>
  <c r="BW52" i="8"/>
  <c r="DP52" i="8" s="1"/>
  <c r="BV52" i="8"/>
  <c r="DO52" i="8" s="1"/>
  <c r="CC52" i="8"/>
  <c r="BU52" i="8"/>
  <c r="CB52" i="8"/>
  <c r="BT52" i="8"/>
  <c r="CA52" i="8"/>
  <c r="BS52" i="8"/>
  <c r="CD52" i="8"/>
  <c r="AY55" i="8"/>
  <c r="AQ55" i="8"/>
  <c r="AX55" i="8"/>
  <c r="DI55" i="8" s="1"/>
  <c r="AP55" i="8"/>
  <c r="DF55" i="8" s="1"/>
  <c r="AW55" i="8"/>
  <c r="AO55" i="8"/>
  <c r="AV55" i="8"/>
  <c r="AU55" i="8"/>
  <c r="DH55" i="8" s="1"/>
  <c r="AT55" i="8"/>
  <c r="DG55" i="8" s="1"/>
  <c r="BA55" i="8"/>
  <c r="AS55" i="8"/>
  <c r="AZ55" i="8"/>
  <c r="AR55" i="8"/>
  <c r="BB55" i="8"/>
  <c r="AM106" i="8"/>
  <c r="AE106" i="8"/>
  <c r="AL106" i="8"/>
  <c r="AD106" i="8"/>
  <c r="AK106" i="8"/>
  <c r="AC106" i="8"/>
  <c r="AJ106" i="8"/>
  <c r="DE106" i="8" s="1"/>
  <c r="AB106" i="8"/>
  <c r="DB106" i="8" s="1"/>
  <c r="AI106" i="8"/>
  <c r="AA106" i="8"/>
  <c r="AH106" i="8"/>
  <c r="AG106" i="8"/>
  <c r="DD106" i="8" s="1"/>
  <c r="AF106" i="8"/>
  <c r="DC106" i="8" s="1"/>
  <c r="AN106" i="8"/>
  <c r="AW49" i="8"/>
  <c r="AO49" i="8"/>
  <c r="AV49" i="8"/>
  <c r="AU49" i="8"/>
  <c r="DH49" i="8" s="1"/>
  <c r="AT49" i="8"/>
  <c r="DG49" i="8" s="1"/>
  <c r="BA49" i="8"/>
  <c r="AS49" i="8"/>
  <c r="AZ49" i="8"/>
  <c r="AR49" i="8"/>
  <c r="AY49" i="8"/>
  <c r="AQ49" i="8"/>
  <c r="AP49" i="8"/>
  <c r="DF49" i="8" s="1"/>
  <c r="AX49" i="8"/>
  <c r="DI49" i="8" s="1"/>
  <c r="BB49" i="8"/>
  <c r="CA99" i="8"/>
  <c r="BS99" i="8"/>
  <c r="BZ99" i="8"/>
  <c r="DQ99" i="8" s="1"/>
  <c r="BR99" i="8"/>
  <c r="DN99" i="8" s="1"/>
  <c r="BY99" i="8"/>
  <c r="BQ99" i="8"/>
  <c r="BX99" i="8"/>
  <c r="BW99" i="8"/>
  <c r="DP99" i="8" s="1"/>
  <c r="CD99" i="8"/>
  <c r="BV99" i="8"/>
  <c r="DO99" i="8" s="1"/>
  <c r="CC99" i="8"/>
  <c r="BU99" i="8"/>
  <c r="CB99" i="8"/>
  <c r="BT99" i="8"/>
  <c r="AU95" i="8"/>
  <c r="DH95" i="8" s="1"/>
  <c r="BB95" i="8"/>
  <c r="AT95" i="8"/>
  <c r="DG95" i="8" s="1"/>
  <c r="BA95" i="8"/>
  <c r="AS95" i="8"/>
  <c r="AZ95" i="8"/>
  <c r="AR95" i="8"/>
  <c r="AY95" i="8"/>
  <c r="AQ95" i="8"/>
  <c r="AX95" i="8"/>
  <c r="DI95" i="8" s="1"/>
  <c r="AP95" i="8"/>
  <c r="DF95" i="8" s="1"/>
  <c r="AW95" i="8"/>
  <c r="AO95" i="8"/>
  <c r="AV95" i="8"/>
  <c r="AU51" i="8"/>
  <c r="DH51" i="8" s="1"/>
  <c r="AT51" i="8"/>
  <c r="DG51" i="8" s="1"/>
  <c r="BA51" i="8"/>
  <c r="AS51" i="8"/>
  <c r="AZ51" i="8"/>
  <c r="AR51" i="8"/>
  <c r="AY51" i="8"/>
  <c r="AQ51" i="8"/>
  <c r="AX51" i="8"/>
  <c r="DI51" i="8" s="1"/>
  <c r="AP51" i="8"/>
  <c r="DF51" i="8" s="1"/>
  <c r="AW51" i="8"/>
  <c r="AO51" i="8"/>
  <c r="AV51" i="8"/>
  <c r="BB51" i="8"/>
  <c r="AK101" i="8"/>
  <c r="AC101" i="8"/>
  <c r="AJ101" i="8"/>
  <c r="DE101" i="8" s="1"/>
  <c r="AB101" i="8"/>
  <c r="DB101" i="8" s="1"/>
  <c r="AI101" i="8"/>
  <c r="AA101" i="8"/>
  <c r="AH101" i="8"/>
  <c r="AG101" i="8"/>
  <c r="DD101" i="8" s="1"/>
  <c r="AN101" i="8"/>
  <c r="AF101" i="8"/>
  <c r="DC101" i="8" s="1"/>
  <c r="AM101" i="8"/>
  <c r="AE101" i="8"/>
  <c r="AL101" i="8"/>
  <c r="AD101" i="8"/>
  <c r="X98" i="8"/>
  <c r="P98" i="8"/>
  <c r="W98" i="8"/>
  <c r="O98" i="8"/>
  <c r="V98" i="8"/>
  <c r="DA98" i="8" s="1"/>
  <c r="N98" i="8"/>
  <c r="CX98" i="8" s="1"/>
  <c r="T98" i="8"/>
  <c r="S98" i="8"/>
  <c r="CZ98" i="8" s="1"/>
  <c r="Z98" i="8"/>
  <c r="R98" i="8"/>
  <c r="CY98" i="8" s="1"/>
  <c r="Y98" i="8"/>
  <c r="U98" i="8"/>
  <c r="Q98" i="8"/>
  <c r="M98" i="8"/>
  <c r="W50" i="8"/>
  <c r="V50" i="8"/>
  <c r="DA50" i="8" s="1"/>
  <c r="N50" i="8"/>
  <c r="CX50" i="8" s="1"/>
  <c r="R50" i="8"/>
  <c r="CY50" i="8" s="1"/>
  <c r="U50" i="8"/>
  <c r="M50" i="8"/>
  <c r="T50" i="8"/>
  <c r="S50" i="8"/>
  <c r="CZ50" i="8" s="1"/>
  <c r="Y50" i="8"/>
  <c r="Q50" i="8"/>
  <c r="X50" i="8"/>
  <c r="P50" i="8"/>
  <c r="O50" i="8"/>
  <c r="Z50" i="8"/>
  <c r="M45" i="8"/>
  <c r="W45" i="8"/>
  <c r="O45" i="8"/>
  <c r="V45" i="8"/>
  <c r="DA45" i="8" s="1"/>
  <c r="N45" i="8"/>
  <c r="CX45" i="8" s="1"/>
  <c r="S45" i="8"/>
  <c r="CZ45" i="8" s="1"/>
  <c r="U45" i="8"/>
  <c r="T45" i="8"/>
  <c r="R45" i="8"/>
  <c r="CY45" i="8" s="1"/>
  <c r="X45" i="8"/>
  <c r="Y45" i="8"/>
  <c r="Q45" i="8"/>
  <c r="P45" i="8"/>
  <c r="Z45" i="8"/>
  <c r="G305" i="8"/>
  <c r="X53" i="8"/>
  <c r="P53" i="8"/>
  <c r="W53" i="8"/>
  <c r="O53" i="8"/>
  <c r="V53" i="8"/>
  <c r="DA53" i="8" s="1"/>
  <c r="N53" i="8"/>
  <c r="CX53" i="8" s="1"/>
  <c r="S53" i="8"/>
  <c r="CZ53" i="8" s="1"/>
  <c r="Y53" i="8"/>
  <c r="U53" i="8"/>
  <c r="T53" i="8"/>
  <c r="R53" i="8"/>
  <c r="CY53" i="8" s="1"/>
  <c r="Q53" i="8"/>
  <c r="M53" i="8"/>
  <c r="Z53" i="8"/>
  <c r="BM103" i="8"/>
  <c r="BE103" i="8"/>
  <c r="BL103" i="8"/>
  <c r="DM103" i="8" s="1"/>
  <c r="BD103" i="8"/>
  <c r="DJ103" i="8" s="1"/>
  <c r="BK103" i="8"/>
  <c r="BC103" i="8"/>
  <c r="BJ103" i="8"/>
  <c r="BI103" i="8"/>
  <c r="DL103" i="8" s="1"/>
  <c r="BP103" i="8"/>
  <c r="BH103" i="8"/>
  <c r="DK103" i="8" s="1"/>
  <c r="BO103" i="8"/>
  <c r="BG103" i="8"/>
  <c r="BN103" i="8"/>
  <c r="BF103" i="8"/>
  <c r="T100" i="8"/>
  <c r="S100" i="8"/>
  <c r="CZ100" i="8" s="1"/>
  <c r="Z100" i="8"/>
  <c r="R100" i="8"/>
  <c r="CY100" i="8" s="1"/>
  <c r="X100" i="8"/>
  <c r="P100" i="8"/>
  <c r="W100" i="8"/>
  <c r="O100" i="8"/>
  <c r="U100" i="8"/>
  <c r="Q100" i="8"/>
  <c r="N100" i="8"/>
  <c r="CX100" i="8" s="1"/>
  <c r="M100" i="8"/>
  <c r="Y100" i="8"/>
  <c r="V100" i="8"/>
  <c r="DA100" i="8" s="1"/>
  <c r="BN46" i="8"/>
  <c r="BF46" i="8"/>
  <c r="BM46" i="8"/>
  <c r="BE46" i="8"/>
  <c r="BL46" i="8"/>
  <c r="DM46" i="8" s="1"/>
  <c r="BD46" i="8"/>
  <c r="DJ46" i="8" s="1"/>
  <c r="BK46" i="8"/>
  <c r="BC46" i="8"/>
  <c r="BJ46" i="8"/>
  <c r="BI46" i="8"/>
  <c r="DL46" i="8" s="1"/>
  <c r="BH46" i="8"/>
  <c r="DK46" i="8" s="1"/>
  <c r="BO46" i="8"/>
  <c r="BG46" i="8"/>
  <c r="BP46" i="8"/>
  <c r="BN96" i="8"/>
  <c r="BF96" i="8"/>
  <c r="BM96" i="8"/>
  <c r="BE96" i="8"/>
  <c r="BL96" i="8"/>
  <c r="DM96" i="8" s="1"/>
  <c r="BD96" i="8"/>
  <c r="DJ96" i="8" s="1"/>
  <c r="BJ96" i="8"/>
  <c r="BI96" i="8"/>
  <c r="DL96" i="8" s="1"/>
  <c r="BG96" i="8"/>
  <c r="BC96" i="8"/>
  <c r="BP96" i="8"/>
  <c r="BO96" i="8"/>
  <c r="BK96" i="8"/>
  <c r="BH96" i="8"/>
  <c r="DK96" i="8" s="1"/>
  <c r="BN54" i="8"/>
  <c r="BF54" i="8"/>
  <c r="BM54" i="8"/>
  <c r="BE54" i="8"/>
  <c r="BL54" i="8"/>
  <c r="DM54" i="8" s="1"/>
  <c r="BD54" i="8"/>
  <c r="DJ54" i="8" s="1"/>
  <c r="BK54" i="8"/>
  <c r="BC54" i="8"/>
  <c r="BJ54" i="8"/>
  <c r="BI54" i="8"/>
  <c r="DL54" i="8" s="1"/>
  <c r="BH54" i="8"/>
  <c r="DK54" i="8" s="1"/>
  <c r="BO54" i="8"/>
  <c r="BG54" i="8"/>
  <c r="BP54" i="8"/>
  <c r="V47" i="8"/>
  <c r="DA47" i="8" s="1"/>
  <c r="U47" i="8"/>
  <c r="M47" i="8"/>
  <c r="T47" i="8"/>
  <c r="S47" i="8"/>
  <c r="CZ47" i="8" s="1"/>
  <c r="R47" i="8"/>
  <c r="CY47" i="8" s="1"/>
  <c r="Q47" i="8"/>
  <c r="X47" i="8"/>
  <c r="P47" i="8"/>
  <c r="W47" i="8"/>
  <c r="O47" i="8"/>
  <c r="N47" i="8"/>
  <c r="CX47" i="8" s="1"/>
  <c r="Y47" i="8"/>
  <c r="Z47" i="8"/>
  <c r="BP97" i="8"/>
  <c r="BH97" i="8"/>
  <c r="DK97" i="8" s="1"/>
  <c r="BO97" i="8"/>
  <c r="BG97" i="8"/>
  <c r="BN97" i="8"/>
  <c r="BF97" i="8"/>
  <c r="BL97" i="8"/>
  <c r="DM97" i="8" s="1"/>
  <c r="BD97" i="8"/>
  <c r="DJ97" i="8" s="1"/>
  <c r="BK97" i="8"/>
  <c r="BC97" i="8"/>
  <c r="BM97" i="8"/>
  <c r="BJ97" i="8"/>
  <c r="BI97" i="8"/>
  <c r="DL97" i="8" s="1"/>
  <c r="BE97" i="8"/>
  <c r="T52" i="8"/>
  <c r="X52" i="8"/>
  <c r="W52" i="8"/>
  <c r="N52" i="8"/>
  <c r="CX52" i="8" s="1"/>
  <c r="V52" i="8"/>
  <c r="DA52" i="8" s="1"/>
  <c r="M52" i="8"/>
  <c r="U52" i="8"/>
  <c r="Q52" i="8"/>
  <c r="S52" i="8"/>
  <c r="CZ52" i="8" s="1"/>
  <c r="R52" i="8"/>
  <c r="CY52" i="8" s="1"/>
  <c r="P52" i="8"/>
  <c r="Y52" i="8"/>
  <c r="O52" i="8"/>
  <c r="Z52" i="8"/>
  <c r="CA55" i="8"/>
  <c r="BS55" i="8"/>
  <c r="BZ55" i="8"/>
  <c r="DQ55" i="8" s="1"/>
  <c r="BR55" i="8"/>
  <c r="DN55" i="8" s="1"/>
  <c r="BY55" i="8"/>
  <c r="BQ55" i="8"/>
  <c r="BX55" i="8"/>
  <c r="BW55" i="8"/>
  <c r="DP55" i="8" s="1"/>
  <c r="BV55" i="8"/>
  <c r="DO55" i="8" s="1"/>
  <c r="CC55" i="8"/>
  <c r="BU55" i="8"/>
  <c r="CB55" i="8"/>
  <c r="BT55" i="8"/>
  <c r="CD55" i="8"/>
  <c r="BL56" i="8"/>
  <c r="DM56" i="8" s="1"/>
  <c r="BD56" i="8"/>
  <c r="DJ56" i="8" s="1"/>
  <c r="BK56" i="8"/>
  <c r="BC56" i="8"/>
  <c r="BJ56" i="8"/>
  <c r="BI56" i="8"/>
  <c r="DL56" i="8" s="1"/>
  <c r="BH56" i="8"/>
  <c r="DK56" i="8" s="1"/>
  <c r="BO56" i="8"/>
  <c r="BG56" i="8"/>
  <c r="BN56" i="8"/>
  <c r="BF56" i="8"/>
  <c r="BM56" i="8"/>
  <c r="BE56" i="8"/>
  <c r="BP56" i="8"/>
  <c r="BK106" i="8"/>
  <c r="BC106" i="8"/>
  <c r="BJ106" i="8"/>
  <c r="BI106" i="8"/>
  <c r="DL106" i="8" s="1"/>
  <c r="BP106" i="8"/>
  <c r="BH106" i="8"/>
  <c r="DK106" i="8" s="1"/>
  <c r="BO106" i="8"/>
  <c r="BG106" i="8"/>
  <c r="BN106" i="8"/>
  <c r="BF106" i="8"/>
  <c r="BM106" i="8"/>
  <c r="BE106" i="8"/>
  <c r="BL106" i="8"/>
  <c r="DM106" i="8" s="1"/>
  <c r="BD106" i="8"/>
  <c r="DJ106" i="8" s="1"/>
  <c r="AL49" i="8"/>
  <c r="AD49" i="8"/>
  <c r="AK49" i="8"/>
  <c r="AC49" i="8"/>
  <c r="AJ49" i="8"/>
  <c r="DE49" i="8" s="1"/>
  <c r="AB49" i="8"/>
  <c r="DB49" i="8" s="1"/>
  <c r="AI49" i="8"/>
  <c r="AA49" i="8"/>
  <c r="AH49" i="8"/>
  <c r="AG49" i="8"/>
  <c r="DD49" i="8" s="1"/>
  <c r="AF49" i="8"/>
  <c r="DC49" i="8" s="1"/>
  <c r="AM49" i="8"/>
  <c r="AE49" i="8"/>
  <c r="AN49" i="8"/>
  <c r="CA95" i="8"/>
  <c r="BS95" i="8"/>
  <c r="BZ95" i="8"/>
  <c r="DQ95" i="8" s="1"/>
  <c r="BR95" i="8"/>
  <c r="DN95" i="8" s="1"/>
  <c r="BY95" i="8"/>
  <c r="BQ95" i="8"/>
  <c r="BX95" i="8"/>
  <c r="BW95" i="8"/>
  <c r="DP95" i="8" s="1"/>
  <c r="CD95" i="8"/>
  <c r="BV95" i="8"/>
  <c r="DO95" i="8" s="1"/>
  <c r="CC95" i="8"/>
  <c r="BU95" i="8"/>
  <c r="CB95" i="8"/>
  <c r="BT95" i="8"/>
  <c r="BW51" i="8"/>
  <c r="DP51" i="8" s="1"/>
  <c r="BV51" i="8"/>
  <c r="DO51" i="8" s="1"/>
  <c r="CC51" i="8"/>
  <c r="BU51" i="8"/>
  <c r="CB51" i="8"/>
  <c r="BT51" i="8"/>
  <c r="CA51" i="8"/>
  <c r="BS51" i="8"/>
  <c r="BZ51" i="8"/>
  <c r="DQ51" i="8" s="1"/>
  <c r="BR51" i="8"/>
  <c r="DN51" i="8" s="1"/>
  <c r="BY51" i="8"/>
  <c r="BQ51" i="8"/>
  <c r="BX51" i="8"/>
  <c r="CD51" i="8"/>
  <c r="BI101" i="8"/>
  <c r="DL101" i="8" s="1"/>
  <c r="BP101" i="8"/>
  <c r="BH101" i="8"/>
  <c r="DK101" i="8" s="1"/>
  <c r="BO101" i="8"/>
  <c r="BG101" i="8"/>
  <c r="BN101" i="8"/>
  <c r="BF101" i="8"/>
  <c r="BM101" i="8"/>
  <c r="BE101" i="8"/>
  <c r="BL101" i="8"/>
  <c r="DM101" i="8" s="1"/>
  <c r="BD101" i="8"/>
  <c r="DJ101" i="8" s="1"/>
  <c r="BK101" i="8"/>
  <c r="BC101" i="8"/>
  <c r="BJ101" i="8"/>
  <c r="BJ98" i="8"/>
  <c r="BI98" i="8"/>
  <c r="DL98" i="8" s="1"/>
  <c r="BP98" i="8"/>
  <c r="BH98" i="8"/>
  <c r="DK98" i="8" s="1"/>
  <c r="BO98" i="8"/>
  <c r="BN98" i="8"/>
  <c r="BF98" i="8"/>
  <c r="BM98" i="8"/>
  <c r="BE98" i="8"/>
  <c r="BL98" i="8"/>
  <c r="DM98" i="8" s="1"/>
  <c r="BK98" i="8"/>
  <c r="BG98" i="8"/>
  <c r="BD98" i="8"/>
  <c r="DJ98" i="8" s="1"/>
  <c r="BC98" i="8"/>
  <c r="BO100" i="8"/>
  <c r="BG100" i="8"/>
  <c r="BN100" i="8"/>
  <c r="BF100" i="8"/>
  <c r="BM100" i="8"/>
  <c r="BE100" i="8"/>
  <c r="BL100" i="8"/>
  <c r="DM100" i="8" s="1"/>
  <c r="BD100" i="8"/>
  <c r="DJ100" i="8" s="1"/>
  <c r="BK100" i="8"/>
  <c r="BC100" i="8"/>
  <c r="BJ100" i="8"/>
  <c r="BI100" i="8"/>
  <c r="DL100" i="8" s="1"/>
  <c r="BH100" i="8"/>
  <c r="DK100" i="8" s="1"/>
  <c r="BP100" i="8"/>
  <c r="AM102" i="8"/>
  <c r="AE102" i="8"/>
  <c r="AL102" i="8"/>
  <c r="AD102" i="8"/>
  <c r="AK102" i="8"/>
  <c r="AC102" i="8"/>
  <c r="AJ102" i="8"/>
  <c r="DE102" i="8" s="1"/>
  <c r="AB102" i="8"/>
  <c r="DB102" i="8" s="1"/>
  <c r="AI102" i="8"/>
  <c r="AA102" i="8"/>
  <c r="AH102" i="8"/>
  <c r="AG102" i="8"/>
  <c r="DD102" i="8" s="1"/>
  <c r="AF102" i="8"/>
  <c r="DC102" i="8" s="1"/>
  <c r="AN102" i="8"/>
  <c r="BV48" i="8"/>
  <c r="DO48" i="8" s="1"/>
  <c r="CC48" i="8"/>
  <c r="BU48" i="8"/>
  <c r="CB48" i="8"/>
  <c r="BT48" i="8"/>
  <c r="CA48" i="8"/>
  <c r="BS48" i="8"/>
  <c r="BZ48" i="8"/>
  <c r="DQ48" i="8" s="1"/>
  <c r="BR48" i="8"/>
  <c r="DN48" i="8" s="1"/>
  <c r="BY48" i="8"/>
  <c r="BQ48" i="8"/>
  <c r="BX48" i="8"/>
  <c r="BW48" i="8"/>
  <c r="DP48" i="8" s="1"/>
  <c r="CD48" i="8"/>
  <c r="Q299" i="8"/>
  <c r="BA53" i="8"/>
  <c r="AS53" i="8"/>
  <c r="AZ53" i="8"/>
  <c r="AR53" i="8"/>
  <c r="AY53" i="8"/>
  <c r="AQ53" i="8"/>
  <c r="AX53" i="8"/>
  <c r="DI53" i="8" s="1"/>
  <c r="AP53" i="8"/>
  <c r="DF53" i="8" s="1"/>
  <c r="AW53" i="8"/>
  <c r="AO53" i="8"/>
  <c r="AV53" i="8"/>
  <c r="AU53" i="8"/>
  <c r="DH53" i="8" s="1"/>
  <c r="AT53" i="8"/>
  <c r="DG53" i="8" s="1"/>
  <c r="BB53" i="8"/>
  <c r="AI100" i="8"/>
  <c r="AA100" i="8"/>
  <c r="AH100" i="8"/>
  <c r="AG100" i="8"/>
  <c r="DD100" i="8" s="1"/>
  <c r="AN100" i="8"/>
  <c r="AF100" i="8"/>
  <c r="DC100" i="8" s="1"/>
  <c r="AM100" i="8"/>
  <c r="AE100" i="8"/>
  <c r="AL100" i="8"/>
  <c r="AD100" i="8"/>
  <c r="AK100" i="8"/>
  <c r="AC100" i="8"/>
  <c r="AJ100" i="8"/>
  <c r="DE100" i="8" s="1"/>
  <c r="AB100" i="8"/>
  <c r="DB100" i="8" s="1"/>
  <c r="AF47" i="8"/>
  <c r="DC47" i="8" s="1"/>
  <c r="AM47" i="8"/>
  <c r="AE47" i="8"/>
  <c r="AL47" i="8"/>
  <c r="AD47" i="8"/>
  <c r="AK47" i="8"/>
  <c r="AC47" i="8"/>
  <c r="AJ47" i="8"/>
  <c r="DE47" i="8" s="1"/>
  <c r="AB47" i="8"/>
  <c r="DB47" i="8" s="1"/>
  <c r="AI47" i="8"/>
  <c r="AA47" i="8"/>
  <c r="AH47" i="8"/>
  <c r="AG47" i="8"/>
  <c r="DD47" i="8" s="1"/>
  <c r="AN47" i="8"/>
  <c r="AK97" i="8"/>
  <c r="AC97" i="8"/>
  <c r="AJ97" i="8"/>
  <c r="DE97" i="8" s="1"/>
  <c r="AB97" i="8"/>
  <c r="DB97" i="8" s="1"/>
  <c r="AI97" i="8"/>
  <c r="AA97" i="8"/>
  <c r="AH97" i="8"/>
  <c r="AG97" i="8"/>
  <c r="DD97" i="8" s="1"/>
  <c r="AN97" i="8"/>
  <c r="AF97" i="8"/>
  <c r="DC97" i="8" s="1"/>
  <c r="AM97" i="8"/>
  <c r="AE97" i="8"/>
  <c r="AL97" i="8"/>
  <c r="AD97" i="8"/>
  <c r="AM52" i="8"/>
  <c r="AE52" i="8"/>
  <c r="AL52" i="8"/>
  <c r="AD52" i="8"/>
  <c r="AK52" i="8"/>
  <c r="AC52" i="8"/>
  <c r="AJ52" i="8"/>
  <c r="DE52" i="8" s="1"/>
  <c r="AB52" i="8"/>
  <c r="DB52" i="8" s="1"/>
  <c r="AI52" i="8"/>
  <c r="AA52" i="8"/>
  <c r="AH52" i="8"/>
  <c r="AG52" i="8"/>
  <c r="DD52" i="8" s="1"/>
  <c r="AF52" i="8"/>
  <c r="DC52" i="8" s="1"/>
  <c r="AN52" i="8"/>
  <c r="Y106" i="8"/>
  <c r="Q106" i="8"/>
  <c r="X106" i="8"/>
  <c r="P106" i="8"/>
  <c r="W106" i="8"/>
  <c r="O106" i="8"/>
  <c r="V106" i="8"/>
  <c r="DA106" i="8" s="1"/>
  <c r="N106" i="8"/>
  <c r="CX106" i="8" s="1"/>
  <c r="U106" i="8"/>
  <c r="M106" i="8"/>
  <c r="T106" i="8"/>
  <c r="S106" i="8"/>
  <c r="CZ106" i="8" s="1"/>
  <c r="Z106" i="8"/>
  <c r="R106" i="8"/>
  <c r="CY106" i="8" s="1"/>
  <c r="BO49" i="8"/>
  <c r="BG49" i="8"/>
  <c r="BN49" i="8"/>
  <c r="BF49" i="8"/>
  <c r="BM49" i="8"/>
  <c r="BE49" i="8"/>
  <c r="BL49" i="8"/>
  <c r="DM49" i="8" s="1"/>
  <c r="BD49" i="8"/>
  <c r="DJ49" i="8" s="1"/>
  <c r="BK49" i="8"/>
  <c r="BC49" i="8"/>
  <c r="BJ49" i="8"/>
  <c r="BI49" i="8"/>
  <c r="DL49" i="8" s="1"/>
  <c r="BH49" i="8"/>
  <c r="DK49" i="8" s="1"/>
  <c r="BP49" i="8"/>
  <c r="CC45" i="8"/>
  <c r="BU45" i="8"/>
  <c r="CB45" i="8"/>
  <c r="BT45" i="8"/>
  <c r="CA45" i="8"/>
  <c r="BS45" i="8"/>
  <c r="BZ45" i="8"/>
  <c r="DQ45" i="8" s="1"/>
  <c r="BR45" i="8"/>
  <c r="DN45" i="8" s="1"/>
  <c r="BY45" i="8"/>
  <c r="BQ45" i="8"/>
  <c r="BX45" i="8"/>
  <c r="BW45" i="8"/>
  <c r="DP45" i="8" s="1"/>
  <c r="BV45" i="8"/>
  <c r="DO45" i="8" s="1"/>
  <c r="CD45" i="8"/>
  <c r="AG95" i="8"/>
  <c r="DD95" i="8" s="1"/>
  <c r="AN95" i="8"/>
  <c r="AF95" i="8"/>
  <c r="DC95" i="8" s="1"/>
  <c r="AM95" i="8"/>
  <c r="AE95" i="8"/>
  <c r="AL95" i="8"/>
  <c r="AD95" i="8"/>
  <c r="AK95" i="8"/>
  <c r="AC95" i="8"/>
  <c r="AJ95" i="8"/>
  <c r="DE95" i="8" s="1"/>
  <c r="AB95" i="8"/>
  <c r="DB95" i="8" s="1"/>
  <c r="AI95" i="8"/>
  <c r="AA95" i="8"/>
  <c r="AH95" i="8"/>
  <c r="BL48" i="8"/>
  <c r="DM48" i="8" s="1"/>
  <c r="BD48" i="8"/>
  <c r="DJ48" i="8" s="1"/>
  <c r="BK48" i="8"/>
  <c r="BC48" i="8"/>
  <c r="BJ48" i="8"/>
  <c r="BI48" i="8"/>
  <c r="DL48" i="8" s="1"/>
  <c r="BH48" i="8"/>
  <c r="DK48" i="8" s="1"/>
  <c r="BO48" i="8"/>
  <c r="BG48" i="8"/>
  <c r="BN48" i="8"/>
  <c r="BF48" i="8"/>
  <c r="BM48" i="8"/>
  <c r="BE48" i="8"/>
  <c r="BP48" i="8"/>
  <c r="BA98" i="8"/>
  <c r="AS98" i="8"/>
  <c r="AZ98" i="8"/>
  <c r="AR98" i="8"/>
  <c r="AY98" i="8"/>
  <c r="AQ98" i="8"/>
  <c r="AX98" i="8"/>
  <c r="DI98" i="8" s="1"/>
  <c r="AP98" i="8"/>
  <c r="DF98" i="8" s="1"/>
  <c r="AW98" i="8"/>
  <c r="AO98" i="8"/>
  <c r="AV98" i="8"/>
  <c r="AU98" i="8"/>
  <c r="DH98" i="8" s="1"/>
  <c r="BB98" i="8"/>
  <c r="AT98" i="8"/>
  <c r="DG98" i="8" s="1"/>
  <c r="O299" i="8"/>
  <c r="I285" i="8"/>
  <c r="J285" i="8" s="1"/>
  <c r="S281" i="8"/>
  <c r="T281" i="8" s="1"/>
  <c r="S273" i="8"/>
  <c r="T273" i="8" s="1"/>
  <c r="O305" i="8"/>
  <c r="S284" i="8"/>
  <c r="T284" i="8" s="1"/>
  <c r="Q306" i="8"/>
  <c r="I278" i="8"/>
  <c r="J278" i="8" s="1"/>
  <c r="I272" i="8"/>
  <c r="J272" i="8" s="1"/>
  <c r="E304" i="8"/>
  <c r="I282" i="8"/>
  <c r="J282" i="8" s="1"/>
  <c r="F305" i="8"/>
  <c r="F297" i="8"/>
  <c r="S282" i="8"/>
  <c r="T282" i="8" s="1"/>
  <c r="O304" i="8"/>
  <c r="E300" i="8"/>
  <c r="I276" i="8"/>
  <c r="J276" i="8" s="1"/>
  <c r="E298" i="8"/>
  <c r="S287" i="8"/>
  <c r="T287" i="8" s="1"/>
  <c r="S279" i="8"/>
  <c r="T279" i="8" s="1"/>
  <c r="S271" i="8"/>
  <c r="T271" i="8" s="1"/>
  <c r="F304" i="8"/>
  <c r="S280" i="8"/>
  <c r="T280" i="8" s="1"/>
  <c r="O303" i="8"/>
  <c r="E296" i="8"/>
  <c r="I268" i="8"/>
  <c r="J268" i="8" s="1"/>
  <c r="I283" i="8"/>
  <c r="J283" i="8" s="1"/>
  <c r="I271" i="8"/>
  <c r="J271" i="8" s="1"/>
  <c r="E302" i="8"/>
  <c r="S286" i="8"/>
  <c r="T286" i="8" s="1"/>
  <c r="O306" i="8"/>
  <c r="G297" i="8"/>
  <c r="S278" i="8"/>
  <c r="T278" i="8" s="1"/>
  <c r="O302" i="8"/>
  <c r="I270" i="8"/>
  <c r="J270" i="8" s="1"/>
  <c r="S285" i="8"/>
  <c r="T285" i="8" s="1"/>
  <c r="S277" i="8"/>
  <c r="T277" i="8" s="1"/>
  <c r="S269" i="8"/>
  <c r="T269" i="8" s="1"/>
  <c r="O300" i="8"/>
  <c r="S276" i="8"/>
  <c r="T276" i="8" s="1"/>
  <c r="I287" i="8"/>
  <c r="J287" i="8" s="1"/>
  <c r="I281" i="8"/>
  <c r="J281" i="8" s="1"/>
  <c r="I275" i="8"/>
  <c r="J275" i="8" s="1"/>
  <c r="E303" i="8"/>
  <c r="E305" i="8"/>
  <c r="E297" i="8"/>
  <c r="S272" i="8"/>
  <c r="T272" i="8" s="1"/>
  <c r="O298" i="8"/>
  <c r="I286" i="8"/>
  <c r="J286" i="8" s="1"/>
  <c r="I280" i="8"/>
  <c r="J280" i="8" s="1"/>
  <c r="I274" i="8"/>
  <c r="J274" i="8" s="1"/>
  <c r="E299" i="8"/>
  <c r="G64" i="4"/>
  <c r="T64" i="4"/>
  <c r="H64" i="4"/>
  <c r="F65" i="4"/>
  <c r="T65" i="4"/>
  <c r="F64" i="4"/>
  <c r="G65" i="4"/>
  <c r="I63" i="4"/>
  <c r="H65" i="4"/>
  <c r="I64" i="4"/>
  <c r="N64" i="4"/>
  <c r="O65" i="1"/>
  <c r="R65" i="1"/>
  <c r="Q65" i="1"/>
  <c r="S65" i="1" s="1"/>
  <c r="T65" i="1" s="1"/>
  <c r="P65" i="1"/>
  <c r="R64" i="1"/>
  <c r="Q64" i="1"/>
  <c r="P64" i="1"/>
  <c r="O64" i="1"/>
  <c r="S64" i="1" s="1"/>
  <c r="T64" i="1" s="1"/>
  <c r="R63" i="1"/>
  <c r="Q63" i="1"/>
  <c r="P63" i="1"/>
  <c r="O63" i="1"/>
  <c r="R62" i="1"/>
  <c r="Q62" i="1"/>
  <c r="P62" i="1"/>
  <c r="O62" i="1"/>
  <c r="S62" i="1" s="1"/>
  <c r="T62" i="1" s="1"/>
  <c r="R61" i="1"/>
  <c r="Q61" i="1"/>
  <c r="P61" i="1"/>
  <c r="O61" i="1"/>
  <c r="R60" i="1"/>
  <c r="Q60" i="1"/>
  <c r="Q82" i="1" s="1"/>
  <c r="P60" i="1"/>
  <c r="O60" i="1"/>
  <c r="S60" i="1" s="1"/>
  <c r="T60" i="1" s="1"/>
  <c r="R59" i="1"/>
  <c r="Q59" i="1"/>
  <c r="P59" i="1"/>
  <c r="O59" i="1"/>
  <c r="R58" i="1"/>
  <c r="Q58" i="1"/>
  <c r="Q81" i="1" s="1"/>
  <c r="P58" i="1"/>
  <c r="O58" i="1"/>
  <c r="S58" i="1" s="1"/>
  <c r="T58" i="1" s="1"/>
  <c r="R57" i="1"/>
  <c r="Q57" i="1"/>
  <c r="P57" i="1"/>
  <c r="O57" i="1"/>
  <c r="R56" i="1"/>
  <c r="Q56" i="1"/>
  <c r="Q80" i="1" s="1"/>
  <c r="P56" i="1"/>
  <c r="O56" i="1"/>
  <c r="O80" i="1" s="1"/>
  <c r="R55" i="1"/>
  <c r="Q55" i="1"/>
  <c r="P55" i="1"/>
  <c r="O55" i="1"/>
  <c r="R54" i="1"/>
  <c r="Q54" i="1"/>
  <c r="Q78" i="1" s="1"/>
  <c r="P54" i="1"/>
  <c r="O54" i="1"/>
  <c r="S54" i="1" s="1"/>
  <c r="T54" i="1" s="1"/>
  <c r="R53" i="1"/>
  <c r="Q53" i="1"/>
  <c r="P53" i="1"/>
  <c r="O53" i="1"/>
  <c r="R52" i="1"/>
  <c r="Q52" i="1"/>
  <c r="Q77" i="1" s="1"/>
  <c r="P52" i="1"/>
  <c r="O52" i="1"/>
  <c r="S52" i="1" s="1"/>
  <c r="T52" i="1" s="1"/>
  <c r="R51" i="1"/>
  <c r="Q51" i="1"/>
  <c r="P51" i="1"/>
  <c r="O51" i="1"/>
  <c r="R50" i="1"/>
  <c r="Q50" i="1"/>
  <c r="Q76" i="1" s="1"/>
  <c r="P50" i="1"/>
  <c r="O50" i="1"/>
  <c r="O76" i="1" s="1"/>
  <c r="R49" i="1"/>
  <c r="Q49" i="1"/>
  <c r="P49" i="1"/>
  <c r="O49" i="1"/>
  <c r="R48" i="1"/>
  <c r="Q48" i="1"/>
  <c r="Q75" i="1" s="1"/>
  <c r="P48" i="1"/>
  <c r="O48" i="1"/>
  <c r="S48" i="1" s="1"/>
  <c r="T48" i="1" s="1"/>
  <c r="R47" i="1"/>
  <c r="Q47" i="1"/>
  <c r="P47" i="1"/>
  <c r="O47" i="1"/>
  <c r="R46" i="1"/>
  <c r="Q46" i="1"/>
  <c r="Q74" i="1" s="1"/>
  <c r="P46" i="1"/>
  <c r="O46" i="1"/>
  <c r="O74" i="1" s="1"/>
  <c r="H47" i="1"/>
  <c r="G47" i="1"/>
  <c r="F47" i="1"/>
  <c r="E47" i="1"/>
  <c r="H46" i="1"/>
  <c r="G46" i="1"/>
  <c r="G74" i="1" s="1"/>
  <c r="F46" i="1"/>
  <c r="E46" i="1"/>
  <c r="I46" i="1" s="1"/>
  <c r="J46" i="1" s="1"/>
  <c r="H61" i="1"/>
  <c r="G61" i="1"/>
  <c r="F61" i="1"/>
  <c r="E61" i="1"/>
  <c r="H60" i="1"/>
  <c r="G60" i="1"/>
  <c r="F60" i="1"/>
  <c r="F82" i="1" s="1"/>
  <c r="E60" i="1"/>
  <c r="H65" i="1"/>
  <c r="G65" i="1"/>
  <c r="F65" i="1"/>
  <c r="E65" i="1"/>
  <c r="H64" i="1"/>
  <c r="G64" i="1"/>
  <c r="F64" i="1"/>
  <c r="F84" i="1" s="1"/>
  <c r="E64" i="1"/>
  <c r="E84" i="1" s="1"/>
  <c r="H63" i="1"/>
  <c r="G63" i="1"/>
  <c r="F63" i="1"/>
  <c r="E63" i="1"/>
  <c r="H62" i="1"/>
  <c r="G62" i="1"/>
  <c r="F62" i="1"/>
  <c r="F83" i="1" s="1"/>
  <c r="E62" i="1"/>
  <c r="E83" i="1" s="1"/>
  <c r="H59" i="1"/>
  <c r="G59" i="1"/>
  <c r="F59" i="1"/>
  <c r="E59" i="1"/>
  <c r="H58" i="1"/>
  <c r="G58" i="1"/>
  <c r="F58" i="1"/>
  <c r="F81" i="1" s="1"/>
  <c r="E58" i="1"/>
  <c r="E81" i="1" s="1"/>
  <c r="H57" i="1"/>
  <c r="G57" i="1"/>
  <c r="F57" i="1"/>
  <c r="E57" i="1"/>
  <c r="H56" i="1"/>
  <c r="G56" i="1"/>
  <c r="F56" i="1"/>
  <c r="F80" i="1" s="1"/>
  <c r="E56" i="1"/>
  <c r="E80" i="1" s="1"/>
  <c r="H55" i="1"/>
  <c r="G55" i="1"/>
  <c r="F55" i="1"/>
  <c r="E55" i="1"/>
  <c r="H54" i="1"/>
  <c r="G54" i="1"/>
  <c r="F54" i="1"/>
  <c r="F78" i="1" s="1"/>
  <c r="E54" i="1"/>
  <c r="E78" i="1" s="1"/>
  <c r="H53" i="1"/>
  <c r="G53" i="1"/>
  <c r="F53" i="1"/>
  <c r="E53" i="1"/>
  <c r="H52" i="1"/>
  <c r="G52" i="1"/>
  <c r="F52" i="1"/>
  <c r="F77" i="1" s="1"/>
  <c r="E52" i="1"/>
  <c r="E77" i="1" s="1"/>
  <c r="H51" i="1"/>
  <c r="G51" i="1"/>
  <c r="F51" i="1"/>
  <c r="E51" i="1"/>
  <c r="H50" i="1"/>
  <c r="G50" i="1"/>
  <c r="F50" i="1"/>
  <c r="F76" i="1" s="1"/>
  <c r="E50" i="1"/>
  <c r="E76" i="1" s="1"/>
  <c r="H49" i="1"/>
  <c r="G49" i="1"/>
  <c r="F49" i="1"/>
  <c r="E49" i="1"/>
  <c r="H48" i="1"/>
  <c r="G48" i="1"/>
  <c r="F48" i="1"/>
  <c r="F75" i="1" s="1"/>
  <c r="E48" i="1"/>
  <c r="E75" i="1" s="1"/>
  <c r="S21" i="1"/>
  <c r="CM38" i="14" l="1"/>
  <c r="CI103" i="13"/>
  <c r="CP74" i="12"/>
  <c r="R97" i="8"/>
  <c r="CY97" i="8" s="1"/>
  <c r="V99" i="8"/>
  <c r="DA99" i="8" s="1"/>
  <c r="W97" i="8"/>
  <c r="Z97" i="8"/>
  <c r="S99" i="8"/>
  <c r="CZ99" i="8" s="1"/>
  <c r="P99" i="8"/>
  <c r="CM67" i="12"/>
  <c r="X97" i="8"/>
  <c r="T97" i="8"/>
  <c r="T99" i="8"/>
  <c r="X99" i="8"/>
  <c r="O97" i="8"/>
  <c r="M97" i="8"/>
  <c r="W99" i="8"/>
  <c r="Q99" i="8"/>
  <c r="CI99" i="8" s="1"/>
  <c r="CG68" i="12"/>
  <c r="CE68" i="12"/>
  <c r="P97" i="8"/>
  <c r="U97" i="8"/>
  <c r="O99" i="8"/>
  <c r="Y99" i="8"/>
  <c r="S97" i="8"/>
  <c r="CZ97" i="8" s="1"/>
  <c r="N97" i="8"/>
  <c r="CX97" i="8" s="1"/>
  <c r="DR97" i="8" s="1"/>
  <c r="M99" i="8"/>
  <c r="CE99" i="8" s="1"/>
  <c r="R99" i="8"/>
  <c r="CY99" i="8" s="1"/>
  <c r="Q97" i="8"/>
  <c r="U99" i="8"/>
  <c r="CQ68" i="12"/>
  <c r="CR41" i="14"/>
  <c r="CS41" i="14" s="1"/>
  <c r="Y101" i="8"/>
  <c r="O103" i="8"/>
  <c r="CG103" i="8" s="1"/>
  <c r="X103" i="8"/>
  <c r="CP103" i="8" s="1"/>
  <c r="O101" i="8"/>
  <c r="Z101" i="8"/>
  <c r="M103" i="8"/>
  <c r="Y103" i="8"/>
  <c r="P101" i="8"/>
  <c r="CH101" i="8" s="1"/>
  <c r="T101" i="8"/>
  <c r="U103" i="8"/>
  <c r="CM103" i="8" s="1"/>
  <c r="R103" i="8"/>
  <c r="CY103" i="8" s="1"/>
  <c r="DS103" i="8" s="1"/>
  <c r="W101" i="8"/>
  <c r="CO101" i="8" s="1"/>
  <c r="M101" i="8"/>
  <c r="N103" i="8"/>
  <c r="CX103" i="8" s="1"/>
  <c r="Z103" i="8"/>
  <c r="CG42" i="14"/>
  <c r="CO68" i="12"/>
  <c r="S101" i="8"/>
  <c r="CZ101" i="8" s="1"/>
  <c r="DT101" i="8" s="1"/>
  <c r="U101" i="8"/>
  <c r="CM101" i="8" s="1"/>
  <c r="V103" i="8"/>
  <c r="DA103" i="8" s="1"/>
  <c r="S103" i="8"/>
  <c r="CZ103" i="8" s="1"/>
  <c r="X101" i="8"/>
  <c r="N101" i="8"/>
  <c r="CX101" i="8" s="1"/>
  <c r="W103" i="8"/>
  <c r="CM103" i="13"/>
  <c r="Q101" i="8"/>
  <c r="CI101" i="8" s="1"/>
  <c r="CI68" i="12"/>
  <c r="CH39" i="14"/>
  <c r="CI66" i="12"/>
  <c r="CL67" i="12"/>
  <c r="CM74" i="12"/>
  <c r="CO67" i="12"/>
  <c r="CR68" i="12"/>
  <c r="CS68" i="12" s="1"/>
  <c r="CR38" i="14"/>
  <c r="J38" i="14" s="1"/>
  <c r="CL38" i="14"/>
  <c r="CP103" i="13"/>
  <c r="CG103" i="13"/>
  <c r="CH103" i="13"/>
  <c r="CE103" i="13"/>
  <c r="CO103" i="13"/>
  <c r="CL103" i="13"/>
  <c r="CQ103" i="13"/>
  <c r="CL68" i="12"/>
  <c r="CO74" i="12"/>
  <c r="CP69" i="12"/>
  <c r="CP67" i="12"/>
  <c r="CM68" i="12"/>
  <c r="CQ74" i="12"/>
  <c r="CH67" i="12"/>
  <c r="CH36" i="14"/>
  <c r="CO69" i="12"/>
  <c r="CQ67" i="12"/>
  <c r="CL39" i="14"/>
  <c r="CH38" i="14"/>
  <c r="CG67" i="12"/>
  <c r="CE74" i="12"/>
  <c r="CP36" i="14"/>
  <c r="CI67" i="12"/>
  <c r="CR74" i="12"/>
  <c r="J74" i="12" s="1"/>
  <c r="CH69" i="12"/>
  <c r="CR66" i="12"/>
  <c r="J66" i="12" s="1"/>
  <c r="CJ103" i="13"/>
  <c r="CY103" i="13"/>
  <c r="DS103" i="13" s="1"/>
  <c r="CE69" i="12"/>
  <c r="CX112" i="13"/>
  <c r="DR112" i="13" s="1"/>
  <c r="CF112" i="13"/>
  <c r="CZ112" i="13"/>
  <c r="DT112" i="13" s="1"/>
  <c r="CK112" i="13"/>
  <c r="CP66" i="12"/>
  <c r="CL66" i="12"/>
  <c r="CR73" i="12"/>
  <c r="CS73" i="12" s="1"/>
  <c r="CH73" i="12"/>
  <c r="H75" i="12"/>
  <c r="I74" i="12"/>
  <c r="I115" i="13"/>
  <c r="CG41" i="14"/>
  <c r="CJ104" i="13"/>
  <c r="CY104" i="13"/>
  <c r="DS104" i="13" s="1"/>
  <c r="CI104" i="13"/>
  <c r="CZ72" i="12"/>
  <c r="DT72" i="12" s="1"/>
  <c r="CK72" i="12"/>
  <c r="CG72" i="12"/>
  <c r="CL37" i="14"/>
  <c r="CP37" i="14"/>
  <c r="CM108" i="13"/>
  <c r="CK114" i="13"/>
  <c r="CZ114" i="13"/>
  <c r="DT114" i="13" s="1"/>
  <c r="CE114" i="13"/>
  <c r="CY64" i="12"/>
  <c r="DS64" i="12" s="1"/>
  <c r="CJ64" i="12"/>
  <c r="CP64" i="12"/>
  <c r="CM17" i="15"/>
  <c r="CL17" i="15"/>
  <c r="CL36" i="14"/>
  <c r="DA36" i="14"/>
  <c r="DU36" i="14" s="1"/>
  <c r="CN36" i="14"/>
  <c r="CJ110" i="13"/>
  <c r="CY110" i="13"/>
  <c r="DS110" i="13" s="1"/>
  <c r="CQ65" i="12"/>
  <c r="CO65" i="12"/>
  <c r="DA74" i="12"/>
  <c r="DU74" i="12" s="1"/>
  <c r="CN74" i="12"/>
  <c r="CH74" i="12"/>
  <c r="CL115" i="13"/>
  <c r="CX115" i="13"/>
  <c r="DR115" i="13" s="1"/>
  <c r="CF115" i="13"/>
  <c r="CO113" i="13"/>
  <c r="CE113" i="13"/>
  <c r="CZ71" i="12"/>
  <c r="DT71" i="12" s="1"/>
  <c r="CK71" i="12"/>
  <c r="CL71" i="12"/>
  <c r="Y99" i="12"/>
  <c r="CQ99" i="12" s="1"/>
  <c r="Q99" i="12"/>
  <c r="CI99" i="12" s="1"/>
  <c r="X99" i="12"/>
  <c r="CP99" i="12" s="1"/>
  <c r="V99" i="12"/>
  <c r="O99" i="12"/>
  <c r="CG99" i="12" s="1"/>
  <c r="W99" i="12"/>
  <c r="CO99" i="12" s="1"/>
  <c r="P99" i="12"/>
  <c r="CH99" i="12" s="1"/>
  <c r="S99" i="12"/>
  <c r="T99" i="12"/>
  <c r="CL99" i="12" s="1"/>
  <c r="M99" i="12"/>
  <c r="CE99" i="12" s="1"/>
  <c r="U99" i="12"/>
  <c r="CM99" i="12" s="1"/>
  <c r="R99" i="12"/>
  <c r="Z99" i="12"/>
  <c r="CR99" i="12" s="1"/>
  <c r="CS99" i="12" s="1"/>
  <c r="N99" i="12"/>
  <c r="T90" i="12"/>
  <c r="CL90" i="12" s="1"/>
  <c r="S90" i="12"/>
  <c r="Z90" i="12"/>
  <c r="CR90" i="12" s="1"/>
  <c r="J90" i="12" s="1"/>
  <c r="R90" i="12"/>
  <c r="Y90" i="12"/>
  <c r="CQ90" i="12" s="1"/>
  <c r="Q90" i="12"/>
  <c r="CI90" i="12" s="1"/>
  <c r="X90" i="12"/>
  <c r="P90" i="12"/>
  <c r="CH90" i="12" s="1"/>
  <c r="W90" i="12"/>
  <c r="CO90" i="12" s="1"/>
  <c r="O90" i="12"/>
  <c r="CG90" i="12" s="1"/>
  <c r="V90" i="12"/>
  <c r="N90" i="12"/>
  <c r="U90" i="12"/>
  <c r="CM90" i="12" s="1"/>
  <c r="M90" i="12"/>
  <c r="CE90" i="12" s="1"/>
  <c r="T150" i="13"/>
  <c r="CL150" i="13" s="1"/>
  <c r="N150" i="13"/>
  <c r="P150" i="13"/>
  <c r="CH150" i="13" s="1"/>
  <c r="O150" i="13"/>
  <c r="CG150" i="13" s="1"/>
  <c r="S150" i="13"/>
  <c r="U150" i="13"/>
  <c r="CM150" i="13" s="1"/>
  <c r="Y150" i="13"/>
  <c r="CQ150" i="13" s="1"/>
  <c r="W150" i="13"/>
  <c r="CO150" i="13" s="1"/>
  <c r="R150" i="13"/>
  <c r="M150" i="13"/>
  <c r="CE150" i="13" s="1"/>
  <c r="Q150" i="13"/>
  <c r="CI150" i="13" s="1"/>
  <c r="Z150" i="13"/>
  <c r="CR150" i="13" s="1"/>
  <c r="J150" i="13" s="1"/>
  <c r="V150" i="13"/>
  <c r="X150" i="13"/>
  <c r="CP150" i="13" s="1"/>
  <c r="V156" i="13"/>
  <c r="Z156" i="13"/>
  <c r="CR156" i="13" s="1"/>
  <c r="CS156" i="13" s="1"/>
  <c r="N156" i="13"/>
  <c r="W156" i="13"/>
  <c r="CO156" i="13" s="1"/>
  <c r="T156" i="13"/>
  <c r="CL156" i="13" s="1"/>
  <c r="Q156" i="13"/>
  <c r="CI156" i="13" s="1"/>
  <c r="R156" i="13"/>
  <c r="O156" i="13"/>
  <c r="CG156" i="13" s="1"/>
  <c r="S156" i="13"/>
  <c r="X156" i="13"/>
  <c r="CP156" i="13" s="1"/>
  <c r="M156" i="13"/>
  <c r="CE156" i="13" s="1"/>
  <c r="P156" i="13"/>
  <c r="CH156" i="13" s="1"/>
  <c r="Y156" i="13"/>
  <c r="CQ156" i="13" s="1"/>
  <c r="U156" i="13"/>
  <c r="CM156" i="13" s="1"/>
  <c r="DA40" i="14"/>
  <c r="DU40" i="14" s="1"/>
  <c r="CN40" i="14"/>
  <c r="CR40" i="14"/>
  <c r="CR111" i="13"/>
  <c r="CS111" i="13" s="1"/>
  <c r="CX39" i="14"/>
  <c r="DR39" i="14" s="1"/>
  <c r="CF39" i="14"/>
  <c r="CP109" i="13"/>
  <c r="CK109" i="13"/>
  <c r="CZ109" i="13"/>
  <c r="DT109" i="13" s="1"/>
  <c r="CY70" i="12"/>
  <c r="DS70" i="12" s="1"/>
  <c r="CJ70" i="12"/>
  <c r="CI70" i="12"/>
  <c r="CN106" i="13"/>
  <c r="DA106" i="13"/>
  <c r="DU106" i="13" s="1"/>
  <c r="CO106" i="13"/>
  <c r="CL107" i="13"/>
  <c r="CO42" i="14"/>
  <c r="CI42" i="14"/>
  <c r="CH105" i="13"/>
  <c r="CQ105" i="13"/>
  <c r="CE63" i="12"/>
  <c r="CQ63" i="12"/>
  <c r="CG62" i="12"/>
  <c r="DA38" i="14"/>
  <c r="DU38" i="14" s="1"/>
  <c r="CN38" i="14"/>
  <c r="CF69" i="12"/>
  <c r="CX69" i="12"/>
  <c r="DR69" i="12" s="1"/>
  <c r="CI38" i="14"/>
  <c r="CH112" i="13"/>
  <c r="CG112" i="13"/>
  <c r="CY66" i="12"/>
  <c r="DS66" i="12" s="1"/>
  <c r="CJ66" i="12"/>
  <c r="CH66" i="12"/>
  <c r="CL73" i="12"/>
  <c r="CO104" i="13"/>
  <c r="CE104" i="13"/>
  <c r="CL72" i="12"/>
  <c r="CX72" i="12"/>
  <c r="DR72" i="12" s="1"/>
  <c r="CF72" i="12"/>
  <c r="CX67" i="12"/>
  <c r="DR67" i="12" s="1"/>
  <c r="CF67" i="12"/>
  <c r="CR37" i="14"/>
  <c r="J37" i="14" s="1"/>
  <c r="CE37" i="14"/>
  <c r="CJ108" i="13"/>
  <c r="CY108" i="13"/>
  <c r="DS108" i="13" s="1"/>
  <c r="CL114" i="13"/>
  <c r="CI114" i="13"/>
  <c r="CO64" i="12"/>
  <c r="CL64" i="12"/>
  <c r="CX17" i="15"/>
  <c r="DR17" i="15" s="1"/>
  <c r="CF17" i="15"/>
  <c r="CI17" i="15"/>
  <c r="CH110" i="13"/>
  <c r="CX110" i="13"/>
  <c r="DR110" i="13" s="1"/>
  <c r="CF110" i="13"/>
  <c r="CM65" i="12"/>
  <c r="CX65" i="12"/>
  <c r="DR65" i="12" s="1"/>
  <c r="CF65" i="12"/>
  <c r="CY74" i="12"/>
  <c r="DS74" i="12" s="1"/>
  <c r="CJ74" i="12"/>
  <c r="CZ74" i="12"/>
  <c r="DT74" i="12" s="1"/>
  <c r="CK74" i="12"/>
  <c r="CG115" i="13"/>
  <c r="CP115" i="13"/>
  <c r="CR113" i="13"/>
  <c r="CS113" i="13" s="1"/>
  <c r="CP113" i="13"/>
  <c r="CP71" i="12"/>
  <c r="X92" i="12"/>
  <c r="CP92" i="12" s="1"/>
  <c r="V92" i="12"/>
  <c r="U92" i="12"/>
  <c r="CM92" i="12" s="1"/>
  <c r="T92" i="12"/>
  <c r="CL92" i="12" s="1"/>
  <c r="P92" i="12"/>
  <c r="CH92" i="12" s="1"/>
  <c r="N92" i="12"/>
  <c r="M92" i="12"/>
  <c r="CE92" i="12" s="1"/>
  <c r="Q92" i="12"/>
  <c r="CI92" i="12" s="1"/>
  <c r="Z92" i="12"/>
  <c r="CR92" i="12" s="1"/>
  <c r="J92" i="12" s="1"/>
  <c r="O92" i="12"/>
  <c r="CG92" i="12" s="1"/>
  <c r="Y92" i="12"/>
  <c r="CQ92" i="12" s="1"/>
  <c r="R92" i="12"/>
  <c r="W92" i="12"/>
  <c r="CO92" i="12" s="1"/>
  <c r="S92" i="12"/>
  <c r="W147" i="13"/>
  <c r="CO147" i="13" s="1"/>
  <c r="P147" i="13"/>
  <c r="CH147" i="13" s="1"/>
  <c r="O147" i="13"/>
  <c r="CG147" i="13" s="1"/>
  <c r="X147" i="13"/>
  <c r="CP147" i="13" s="1"/>
  <c r="Y147" i="13"/>
  <c r="CQ147" i="13" s="1"/>
  <c r="T147" i="13"/>
  <c r="CL147" i="13" s="1"/>
  <c r="Q147" i="13"/>
  <c r="CI147" i="13" s="1"/>
  <c r="U147" i="13"/>
  <c r="CM147" i="13" s="1"/>
  <c r="Z147" i="13"/>
  <c r="CR147" i="13" s="1"/>
  <c r="J147" i="13" s="1"/>
  <c r="V147" i="13"/>
  <c r="R147" i="13"/>
  <c r="M147" i="13"/>
  <c r="CE147" i="13" s="1"/>
  <c r="N147" i="13"/>
  <c r="S147" i="13"/>
  <c r="V154" i="13"/>
  <c r="Z154" i="13"/>
  <c r="CR154" i="13" s="1"/>
  <c r="CS154" i="13" s="1"/>
  <c r="O154" i="13"/>
  <c r="CG154" i="13" s="1"/>
  <c r="W154" i="13"/>
  <c r="CO154" i="13" s="1"/>
  <c r="S154" i="13"/>
  <c r="P154" i="13"/>
  <c r="CH154" i="13" s="1"/>
  <c r="T154" i="13"/>
  <c r="CL154" i="13" s="1"/>
  <c r="X154" i="13"/>
  <c r="CP154" i="13" s="1"/>
  <c r="U154" i="13"/>
  <c r="CM154" i="13" s="1"/>
  <c r="Y154" i="13"/>
  <c r="CQ154" i="13" s="1"/>
  <c r="M154" i="13"/>
  <c r="CE154" i="13" s="1"/>
  <c r="N154" i="13"/>
  <c r="Q154" i="13"/>
  <c r="CI154" i="13" s="1"/>
  <c r="R154" i="13"/>
  <c r="S81" i="14"/>
  <c r="W81" i="14"/>
  <c r="CO81" i="14" s="1"/>
  <c r="Z81" i="14"/>
  <c r="CR81" i="14" s="1"/>
  <c r="J81" i="14" s="1"/>
  <c r="O81" i="14"/>
  <c r="CG81" i="14" s="1"/>
  <c r="R81" i="14"/>
  <c r="M81" i="14"/>
  <c r="CE81" i="14" s="1"/>
  <c r="Y81" i="14"/>
  <c r="CQ81" i="14" s="1"/>
  <c r="V81" i="14"/>
  <c r="Q81" i="14"/>
  <c r="CI81" i="14" s="1"/>
  <c r="N81" i="14"/>
  <c r="U81" i="14"/>
  <c r="CM81" i="14" s="1"/>
  <c r="T81" i="14"/>
  <c r="CL81" i="14" s="1"/>
  <c r="P81" i="14"/>
  <c r="CH81" i="14" s="1"/>
  <c r="X81" i="14"/>
  <c r="CP81" i="14" s="1"/>
  <c r="CX40" i="14"/>
  <c r="DR40" i="14" s="1"/>
  <c r="CF40" i="14"/>
  <c r="CL111" i="13"/>
  <c r="CH111" i="13"/>
  <c r="DA39" i="14"/>
  <c r="DU39" i="14" s="1"/>
  <c r="CN39" i="14"/>
  <c r="CQ109" i="13"/>
  <c r="CH109" i="13"/>
  <c r="CR70" i="12"/>
  <c r="CS70" i="12" s="1"/>
  <c r="CP106" i="13"/>
  <c r="CR106" i="13"/>
  <c r="J106" i="13" s="1"/>
  <c r="CO107" i="13"/>
  <c r="DA42" i="14"/>
  <c r="DU42" i="14" s="1"/>
  <c r="CN42" i="14"/>
  <c r="CX42" i="14"/>
  <c r="DR42" i="14" s="1"/>
  <c r="CF42" i="14"/>
  <c r="CG105" i="13"/>
  <c r="CI105" i="13"/>
  <c r="CP63" i="12"/>
  <c r="DA63" i="12"/>
  <c r="CN63" i="12"/>
  <c r="CY62" i="12"/>
  <c r="DS62" i="12" s="1"/>
  <c r="CJ62" i="12"/>
  <c r="CM69" i="12"/>
  <c r="CP38" i="14"/>
  <c r="CQ38" i="14"/>
  <c r="CL112" i="13"/>
  <c r="CO112" i="13"/>
  <c r="CG66" i="12"/>
  <c r="CE66" i="12"/>
  <c r="CM73" i="12"/>
  <c r="CS103" i="13"/>
  <c r="CZ41" i="14"/>
  <c r="DT41" i="14" s="1"/>
  <c r="CK41" i="14"/>
  <c r="CM41" i="14"/>
  <c r="CN104" i="13"/>
  <c r="DA104" i="13"/>
  <c r="DU104" i="13" s="1"/>
  <c r="CP104" i="13"/>
  <c r="CE72" i="12"/>
  <c r="CO72" i="12"/>
  <c r="CG37" i="14"/>
  <c r="CR108" i="13"/>
  <c r="CS108" i="13" s="1"/>
  <c r="CG108" i="13"/>
  <c r="CN114" i="13"/>
  <c r="DA114" i="13"/>
  <c r="DU114" i="13" s="1"/>
  <c r="CO114" i="13"/>
  <c r="CH64" i="12"/>
  <c r="DA64" i="12"/>
  <c r="DU64" i="12" s="1"/>
  <c r="CN64" i="12"/>
  <c r="CE17" i="15"/>
  <c r="CP17" i="15"/>
  <c r="CG110" i="13"/>
  <c r="CQ110" i="13"/>
  <c r="CR65" i="12"/>
  <c r="CP65" i="12"/>
  <c r="CX74" i="12"/>
  <c r="DR74" i="12" s="1"/>
  <c r="CF74" i="12"/>
  <c r="CQ115" i="13"/>
  <c r="CM115" i="13"/>
  <c r="CG113" i="13"/>
  <c r="CL113" i="13"/>
  <c r="CH71" i="12"/>
  <c r="W89" i="12"/>
  <c r="CO89" i="12" s="1"/>
  <c r="T89" i="12"/>
  <c r="CL89" i="12" s="1"/>
  <c r="X89" i="12"/>
  <c r="CP89" i="12" s="1"/>
  <c r="O89" i="12"/>
  <c r="CG89" i="12" s="1"/>
  <c r="S89" i="12"/>
  <c r="M89" i="12"/>
  <c r="CE89" i="12" s="1"/>
  <c r="U89" i="12"/>
  <c r="CM89" i="12" s="1"/>
  <c r="N89" i="12"/>
  <c r="R89" i="12"/>
  <c r="V89" i="12"/>
  <c r="Z89" i="12"/>
  <c r="CR89" i="12" s="1"/>
  <c r="J89" i="12" s="1"/>
  <c r="Q89" i="12"/>
  <c r="CI89" i="12" s="1"/>
  <c r="P89" i="12"/>
  <c r="CH89" i="12" s="1"/>
  <c r="Y89" i="12"/>
  <c r="CQ89" i="12" s="1"/>
  <c r="M151" i="13"/>
  <c r="CE151" i="13" s="1"/>
  <c r="P151" i="13"/>
  <c r="CH151" i="13" s="1"/>
  <c r="U151" i="13"/>
  <c r="CM151" i="13" s="1"/>
  <c r="Y151" i="13"/>
  <c r="CQ151" i="13" s="1"/>
  <c r="Q151" i="13"/>
  <c r="CI151" i="13" s="1"/>
  <c r="T151" i="13"/>
  <c r="CL151" i="13" s="1"/>
  <c r="V151" i="13"/>
  <c r="Z151" i="13"/>
  <c r="CR151" i="13" s="1"/>
  <c r="CS151" i="13" s="1"/>
  <c r="W151" i="13"/>
  <c r="CO151" i="13" s="1"/>
  <c r="S151" i="13"/>
  <c r="O151" i="13"/>
  <c r="CG151" i="13" s="1"/>
  <c r="R151" i="13"/>
  <c r="N151" i="13"/>
  <c r="X151" i="13"/>
  <c r="CP151" i="13" s="1"/>
  <c r="V79" i="14"/>
  <c r="R79" i="14"/>
  <c r="N79" i="14"/>
  <c r="Q79" i="14"/>
  <c r="CI79" i="14" s="1"/>
  <c r="M79" i="14"/>
  <c r="CE79" i="14" s="1"/>
  <c r="P79" i="14"/>
  <c r="CH79" i="14" s="1"/>
  <c r="T79" i="14"/>
  <c r="CL79" i="14" s="1"/>
  <c r="W79" i="14"/>
  <c r="CO79" i="14" s="1"/>
  <c r="S79" i="14"/>
  <c r="O79" i="14"/>
  <c r="CG79" i="14" s="1"/>
  <c r="U79" i="14"/>
  <c r="CM79" i="14" s="1"/>
  <c r="Z79" i="14"/>
  <c r="CR79" i="14" s="1"/>
  <c r="J79" i="14" s="1"/>
  <c r="Y79" i="14"/>
  <c r="CQ79" i="14" s="1"/>
  <c r="X79" i="14"/>
  <c r="CP79" i="14" s="1"/>
  <c r="P85" i="14"/>
  <c r="CH85" i="14" s="1"/>
  <c r="S85" i="14"/>
  <c r="W85" i="14"/>
  <c r="CO85" i="14" s="1"/>
  <c r="U85" i="14"/>
  <c r="CM85" i="14" s="1"/>
  <c r="O85" i="14"/>
  <c r="CG85" i="14" s="1"/>
  <c r="Z85" i="14"/>
  <c r="CR85" i="14" s="1"/>
  <c r="CS85" i="14" s="1"/>
  <c r="M85" i="14"/>
  <c r="CE85" i="14" s="1"/>
  <c r="R85" i="14"/>
  <c r="V85" i="14"/>
  <c r="Y85" i="14"/>
  <c r="CQ85" i="14" s="1"/>
  <c r="N85" i="14"/>
  <c r="X85" i="14"/>
  <c r="CP85" i="14" s="1"/>
  <c r="Q85" i="14"/>
  <c r="CI85" i="14" s="1"/>
  <c r="T85" i="14"/>
  <c r="CL85" i="14" s="1"/>
  <c r="CM40" i="14"/>
  <c r="CG111" i="13"/>
  <c r="CQ111" i="13"/>
  <c r="CY39" i="14"/>
  <c r="DS39" i="14" s="1"/>
  <c r="CJ39" i="14"/>
  <c r="CG39" i="14"/>
  <c r="CN109" i="13"/>
  <c r="DA109" i="13"/>
  <c r="DU109" i="13" s="1"/>
  <c r="CY109" i="13"/>
  <c r="DS109" i="13" s="1"/>
  <c r="CJ109" i="13"/>
  <c r="CG70" i="12"/>
  <c r="CM106" i="13"/>
  <c r="CM107" i="13"/>
  <c r="CZ107" i="13"/>
  <c r="DT107" i="13" s="1"/>
  <c r="CK107" i="13"/>
  <c r="CM42" i="14"/>
  <c r="CP42" i="14"/>
  <c r="CL105" i="13"/>
  <c r="CX105" i="13"/>
  <c r="DR105" i="13" s="1"/>
  <c r="CF105" i="13"/>
  <c r="CX63" i="12"/>
  <c r="DR63" i="12" s="1"/>
  <c r="CF63" i="12"/>
  <c r="CZ62" i="12"/>
  <c r="DT62" i="12" s="1"/>
  <c r="CK62" i="12"/>
  <c r="CH62" i="12"/>
  <c r="CX38" i="14"/>
  <c r="CF38" i="14"/>
  <c r="CN69" i="12"/>
  <c r="DA69" i="12"/>
  <c r="DU69" i="12" s="1"/>
  <c r="CE38" i="14"/>
  <c r="CQ112" i="13"/>
  <c r="CJ112" i="13"/>
  <c r="CY112" i="13"/>
  <c r="DS112" i="13" s="1"/>
  <c r="CP73" i="12"/>
  <c r="CG73" i="12"/>
  <c r="H48" i="14"/>
  <c r="I48" i="14" s="1"/>
  <c r="CL41" i="14"/>
  <c r="CQ41" i="14"/>
  <c r="CG104" i="13"/>
  <c r="CL104" i="13"/>
  <c r="CM72" i="12"/>
  <c r="CI72" i="12"/>
  <c r="CI37" i="14"/>
  <c r="CQ108" i="13"/>
  <c r="DA108" i="13"/>
  <c r="DU108" i="13" s="1"/>
  <c r="CN108" i="13"/>
  <c r="CR114" i="13"/>
  <c r="CS114" i="13" s="1"/>
  <c r="CP114" i="13"/>
  <c r="CE64" i="12"/>
  <c r="CG64" i="12"/>
  <c r="CY17" i="15"/>
  <c r="DS17" i="15" s="1"/>
  <c r="CJ17" i="15"/>
  <c r="CO36" i="14"/>
  <c r="CY36" i="14"/>
  <c r="DS36" i="14" s="1"/>
  <c r="CJ36" i="14"/>
  <c r="CZ110" i="13"/>
  <c r="DT110" i="13" s="1"/>
  <c r="CK110" i="13"/>
  <c r="CM110" i="13"/>
  <c r="CL65" i="12"/>
  <c r="CH65" i="12"/>
  <c r="I158" i="13"/>
  <c r="Z116" i="13"/>
  <c r="CR115" i="13"/>
  <c r="J115" i="13" s="1"/>
  <c r="CO115" i="13"/>
  <c r="CY113" i="13"/>
  <c r="DS113" i="13" s="1"/>
  <c r="CJ113" i="13"/>
  <c r="CE71" i="12"/>
  <c r="CQ71" i="12"/>
  <c r="U94" i="12"/>
  <c r="CM94" i="12" s="1"/>
  <c r="M94" i="12"/>
  <c r="CE94" i="12" s="1"/>
  <c r="T94" i="12"/>
  <c r="CL94" i="12" s="1"/>
  <c r="S94" i="12"/>
  <c r="Z94" i="12"/>
  <c r="CR94" i="12" s="1"/>
  <c r="CS94" i="12" s="1"/>
  <c r="R94" i="12"/>
  <c r="Y94" i="12"/>
  <c r="CQ94" i="12" s="1"/>
  <c r="Q94" i="12"/>
  <c r="CI94" i="12" s="1"/>
  <c r="X94" i="12"/>
  <c r="CP94" i="12" s="1"/>
  <c r="P94" i="12"/>
  <c r="CH94" i="12" s="1"/>
  <c r="W94" i="12"/>
  <c r="CO94" i="12" s="1"/>
  <c r="O94" i="12"/>
  <c r="CG94" i="12" s="1"/>
  <c r="V94" i="12"/>
  <c r="N94" i="12"/>
  <c r="Y155" i="13"/>
  <c r="CQ155" i="13" s="1"/>
  <c r="R155" i="13"/>
  <c r="S155" i="13"/>
  <c r="T155" i="13"/>
  <c r="CL155" i="13" s="1"/>
  <c r="V155" i="13"/>
  <c r="U155" i="13"/>
  <c r="CM155" i="13" s="1"/>
  <c r="W155" i="13"/>
  <c r="CO155" i="13" s="1"/>
  <c r="M155" i="13"/>
  <c r="CE155" i="13" s="1"/>
  <c r="P155" i="13"/>
  <c r="CH155" i="13" s="1"/>
  <c r="Z155" i="13"/>
  <c r="CR155" i="13" s="1"/>
  <c r="CS155" i="13" s="1"/>
  <c r="X155" i="13"/>
  <c r="CP155" i="13" s="1"/>
  <c r="Q155" i="13"/>
  <c r="CI155" i="13" s="1"/>
  <c r="O155" i="13"/>
  <c r="CG155" i="13" s="1"/>
  <c r="N155" i="13"/>
  <c r="M83" i="14"/>
  <c r="CE83" i="14" s="1"/>
  <c r="Q83" i="14"/>
  <c r="CI83" i="14" s="1"/>
  <c r="T83" i="14"/>
  <c r="CL83" i="14" s="1"/>
  <c r="S83" i="14"/>
  <c r="W83" i="14"/>
  <c r="CO83" i="14" s="1"/>
  <c r="Z83" i="14"/>
  <c r="CR83" i="14" s="1"/>
  <c r="J83" i="14" s="1"/>
  <c r="O83" i="14"/>
  <c r="CG83" i="14" s="1"/>
  <c r="R83" i="14"/>
  <c r="V83" i="14"/>
  <c r="Y83" i="14"/>
  <c r="CQ83" i="14" s="1"/>
  <c r="U83" i="14"/>
  <c r="CM83" i="14" s="1"/>
  <c r="P83" i="14"/>
  <c r="CH83" i="14" s="1"/>
  <c r="N83" i="14"/>
  <c r="X83" i="14"/>
  <c r="CP83" i="14" s="1"/>
  <c r="V149" i="13"/>
  <c r="R149" i="13"/>
  <c r="O149" i="13"/>
  <c r="CG149" i="13" s="1"/>
  <c r="S149" i="13"/>
  <c r="W149" i="13"/>
  <c r="CO149" i="13" s="1"/>
  <c r="Z149" i="13"/>
  <c r="CR149" i="13" s="1"/>
  <c r="J149" i="13" s="1"/>
  <c r="P149" i="13"/>
  <c r="CH149" i="13" s="1"/>
  <c r="X149" i="13"/>
  <c r="CP149" i="13" s="1"/>
  <c r="M149" i="13"/>
  <c r="CE149" i="13" s="1"/>
  <c r="Q149" i="13"/>
  <c r="CI149" i="13" s="1"/>
  <c r="Y149" i="13"/>
  <c r="CQ149" i="13" s="1"/>
  <c r="T149" i="13"/>
  <c r="CL149" i="13" s="1"/>
  <c r="U149" i="13"/>
  <c r="CM149" i="13" s="1"/>
  <c r="N149" i="13"/>
  <c r="CP40" i="14"/>
  <c r="CI40" i="14"/>
  <c r="CY111" i="13"/>
  <c r="DS111" i="13" s="1"/>
  <c r="CJ111" i="13"/>
  <c r="CF111" i="13"/>
  <c r="CX111" i="13"/>
  <c r="DR111" i="13" s="1"/>
  <c r="CM39" i="14"/>
  <c r="CZ39" i="14"/>
  <c r="DT39" i="14" s="1"/>
  <c r="CK39" i="14"/>
  <c r="CI109" i="13"/>
  <c r="CX70" i="12"/>
  <c r="DR70" i="12" s="1"/>
  <c r="CF70" i="12"/>
  <c r="CH70" i="12"/>
  <c r="CE106" i="13"/>
  <c r="CQ107" i="13"/>
  <c r="CG107" i="13"/>
  <c r="CL42" i="14"/>
  <c r="CO105" i="13"/>
  <c r="CP105" i="13"/>
  <c r="CI63" i="12"/>
  <c r="DA62" i="12"/>
  <c r="DU62" i="12" s="1"/>
  <c r="CN62" i="12"/>
  <c r="CR62" i="12"/>
  <c r="J62" i="12" s="1"/>
  <c r="CK103" i="13"/>
  <c r="CZ103" i="13"/>
  <c r="DT103" i="13" s="1"/>
  <c r="CY38" i="14"/>
  <c r="DS38" i="14" s="1"/>
  <c r="CJ38" i="14"/>
  <c r="CY69" i="12"/>
  <c r="DS69" i="12" s="1"/>
  <c r="CJ69" i="12"/>
  <c r="CZ69" i="12"/>
  <c r="DT69" i="12" s="1"/>
  <c r="CK69" i="12"/>
  <c r="CZ68" i="12"/>
  <c r="DT68" i="12" s="1"/>
  <c r="CK68" i="12"/>
  <c r="CR36" i="14"/>
  <c r="J36" i="14" s="1"/>
  <c r="CP90" i="12"/>
  <c r="CM112" i="13"/>
  <c r="CR112" i="13"/>
  <c r="CS112" i="13" s="1"/>
  <c r="CI73" i="12"/>
  <c r="CX73" i="12"/>
  <c r="DR73" i="12" s="1"/>
  <c r="CF73" i="12"/>
  <c r="CI41" i="14"/>
  <c r="DA41" i="14"/>
  <c r="DU41" i="14" s="1"/>
  <c r="CN41" i="14"/>
  <c r="CZ104" i="13"/>
  <c r="DT104" i="13" s="1"/>
  <c r="CK104" i="13"/>
  <c r="CH104" i="13"/>
  <c r="CY72" i="12"/>
  <c r="DS72" i="12" s="1"/>
  <c r="CJ72" i="12"/>
  <c r="CZ67" i="12"/>
  <c r="DT67" i="12" s="1"/>
  <c r="CK67" i="12"/>
  <c r="CH37" i="14"/>
  <c r="CX37" i="14"/>
  <c r="DR37" i="14" s="1"/>
  <c r="CF37" i="14"/>
  <c r="CP108" i="13"/>
  <c r="CH108" i="13"/>
  <c r="CM114" i="13"/>
  <c r="CG114" i="13"/>
  <c r="CX64" i="12"/>
  <c r="DR64" i="12" s="1"/>
  <c r="CF64" i="12"/>
  <c r="CR17" i="15"/>
  <c r="CX36" i="14"/>
  <c r="DR36" i="14" s="1"/>
  <c r="CF36" i="14"/>
  <c r="CL110" i="13"/>
  <c r="CI110" i="13"/>
  <c r="DA65" i="12"/>
  <c r="DU65" i="12" s="1"/>
  <c r="CN65" i="12"/>
  <c r="CI65" i="12"/>
  <c r="CS89" i="12"/>
  <c r="H86" i="14"/>
  <c r="I86" i="14" s="1"/>
  <c r="CI115" i="13"/>
  <c r="CE115" i="13"/>
  <c r="CF113" i="13"/>
  <c r="CX113" i="13"/>
  <c r="DR113" i="13" s="1"/>
  <c r="CM71" i="12"/>
  <c r="CO71" i="12"/>
  <c r="C101" i="12"/>
  <c r="N100" i="12"/>
  <c r="P100" i="12"/>
  <c r="CH100" i="12" s="1"/>
  <c r="R100" i="12"/>
  <c r="Y100" i="12"/>
  <c r="CQ100" i="12" s="1"/>
  <c r="X100" i="12"/>
  <c r="CP100" i="12" s="1"/>
  <c r="U100" i="12"/>
  <c r="CM100" i="12" s="1"/>
  <c r="W100" i="12"/>
  <c r="CO100" i="12" s="1"/>
  <c r="S100" i="12"/>
  <c r="T100" i="12"/>
  <c r="CL100" i="12" s="1"/>
  <c r="Z100" i="12"/>
  <c r="CR100" i="12" s="1"/>
  <c r="M100" i="12"/>
  <c r="CE100" i="12" s="1"/>
  <c r="V100" i="12"/>
  <c r="O100" i="12"/>
  <c r="CG100" i="12" s="1"/>
  <c r="Q100" i="12"/>
  <c r="CI100" i="12" s="1"/>
  <c r="Z97" i="12"/>
  <c r="CR97" i="12" s="1"/>
  <c r="CS97" i="12" s="1"/>
  <c r="O97" i="12"/>
  <c r="CG97" i="12" s="1"/>
  <c r="N97" i="12"/>
  <c r="W97" i="12"/>
  <c r="CO97" i="12" s="1"/>
  <c r="V97" i="12"/>
  <c r="Q97" i="12"/>
  <c r="CI97" i="12" s="1"/>
  <c r="M97" i="12"/>
  <c r="CE97" i="12" s="1"/>
  <c r="Y97" i="12"/>
  <c r="CQ97" i="12" s="1"/>
  <c r="S97" i="12"/>
  <c r="T97" i="12"/>
  <c r="CL97" i="12" s="1"/>
  <c r="P97" i="12"/>
  <c r="CH97" i="12" s="1"/>
  <c r="U97" i="12"/>
  <c r="CM97" i="12" s="1"/>
  <c r="X97" i="12"/>
  <c r="CP97" i="12" s="1"/>
  <c r="R97" i="12"/>
  <c r="N148" i="13"/>
  <c r="V148" i="13"/>
  <c r="R148" i="13"/>
  <c r="O148" i="13"/>
  <c r="CG148" i="13" s="1"/>
  <c r="Z148" i="13"/>
  <c r="CR148" i="13" s="1"/>
  <c r="J148" i="13" s="1"/>
  <c r="W148" i="13"/>
  <c r="CO148" i="13" s="1"/>
  <c r="T148" i="13"/>
  <c r="CL148" i="13" s="1"/>
  <c r="Y148" i="13"/>
  <c r="CQ148" i="13" s="1"/>
  <c r="M148" i="13"/>
  <c r="CE148" i="13" s="1"/>
  <c r="P148" i="13"/>
  <c r="CH148" i="13" s="1"/>
  <c r="S148" i="13"/>
  <c r="U148" i="13"/>
  <c r="CM148" i="13" s="1"/>
  <c r="Q148" i="13"/>
  <c r="CI148" i="13" s="1"/>
  <c r="X148" i="13"/>
  <c r="CP148" i="13" s="1"/>
  <c r="X80" i="14"/>
  <c r="CP80" i="14" s="1"/>
  <c r="M80" i="14"/>
  <c r="CE80" i="14" s="1"/>
  <c r="P80" i="14"/>
  <c r="CH80" i="14" s="1"/>
  <c r="T80" i="14"/>
  <c r="CL80" i="14" s="1"/>
  <c r="S80" i="14"/>
  <c r="Z80" i="14"/>
  <c r="CR80" i="14" s="1"/>
  <c r="W80" i="14"/>
  <c r="CO80" i="14" s="1"/>
  <c r="R80" i="14"/>
  <c r="O80" i="14"/>
  <c r="CG80" i="14" s="1"/>
  <c r="V80" i="14"/>
  <c r="Q80" i="14"/>
  <c r="CI80" i="14" s="1"/>
  <c r="U80" i="14"/>
  <c r="CM80" i="14" s="1"/>
  <c r="Y80" i="14"/>
  <c r="CQ80" i="14" s="1"/>
  <c r="N80" i="14"/>
  <c r="W60" i="15"/>
  <c r="CO60" i="15" s="1"/>
  <c r="O60" i="15"/>
  <c r="CG60" i="15" s="1"/>
  <c r="V60" i="15"/>
  <c r="N60" i="15"/>
  <c r="U60" i="15"/>
  <c r="CM60" i="15" s="1"/>
  <c r="M60" i="15"/>
  <c r="CE60" i="15" s="1"/>
  <c r="T60" i="15"/>
  <c r="CL60" i="15" s="1"/>
  <c r="S60" i="15"/>
  <c r="Y60" i="15"/>
  <c r="CQ60" i="15" s="1"/>
  <c r="Z60" i="15"/>
  <c r="CR60" i="15" s="1"/>
  <c r="R60" i="15"/>
  <c r="Q60" i="15"/>
  <c r="CI60" i="15" s="1"/>
  <c r="X60" i="15"/>
  <c r="CP60" i="15" s="1"/>
  <c r="P60" i="15"/>
  <c r="CH60" i="15" s="1"/>
  <c r="W153" i="13"/>
  <c r="CO153" i="13" s="1"/>
  <c r="T153" i="13"/>
  <c r="CL153" i="13" s="1"/>
  <c r="P153" i="13"/>
  <c r="CH153" i="13" s="1"/>
  <c r="M153" i="13"/>
  <c r="CE153" i="13" s="1"/>
  <c r="X153" i="13"/>
  <c r="CP153" i="13" s="1"/>
  <c r="R153" i="13"/>
  <c r="V153" i="13"/>
  <c r="O153" i="13"/>
  <c r="CG153" i="13" s="1"/>
  <c r="Q153" i="13"/>
  <c r="CI153" i="13" s="1"/>
  <c r="Y153" i="13"/>
  <c r="CQ153" i="13" s="1"/>
  <c r="S153" i="13"/>
  <c r="U153" i="13"/>
  <c r="CM153" i="13" s="1"/>
  <c r="Z153" i="13"/>
  <c r="CR153" i="13" s="1"/>
  <c r="CS153" i="13" s="1"/>
  <c r="N153" i="13"/>
  <c r="CQ40" i="14"/>
  <c r="CE40" i="14"/>
  <c r="CN111" i="13"/>
  <c r="DA111" i="13"/>
  <c r="DU111" i="13" s="1"/>
  <c r="CI111" i="13"/>
  <c r="CP39" i="14"/>
  <c r="CO39" i="14"/>
  <c r="CM109" i="13"/>
  <c r="CZ70" i="12"/>
  <c r="DT70" i="12" s="1"/>
  <c r="CK70" i="12"/>
  <c r="CM70" i="12"/>
  <c r="CG106" i="13"/>
  <c r="CQ106" i="13"/>
  <c r="CH107" i="13"/>
  <c r="CR107" i="13"/>
  <c r="J107" i="13" s="1"/>
  <c r="CQ42" i="14"/>
  <c r="Z43" i="14"/>
  <c r="CR42" i="14"/>
  <c r="CS42" i="14" s="1"/>
  <c r="CR105" i="13"/>
  <c r="J105" i="13" s="1"/>
  <c r="CL63" i="12"/>
  <c r="CH63" i="12"/>
  <c r="CL62" i="12"/>
  <c r="CX62" i="12"/>
  <c r="DR62" i="12" s="1"/>
  <c r="CF62" i="12"/>
  <c r="CN103" i="13"/>
  <c r="DA103" i="13"/>
  <c r="DU103" i="13" s="1"/>
  <c r="CR69" i="12"/>
  <c r="CS69" i="12" s="1"/>
  <c r="CG69" i="12"/>
  <c r="CX68" i="12"/>
  <c r="DR68" i="12" s="1"/>
  <c r="CF68" i="12"/>
  <c r="CY68" i="12"/>
  <c r="DS68" i="12" s="1"/>
  <c r="CJ68" i="12"/>
  <c r="CE36" i="14"/>
  <c r="CE112" i="13"/>
  <c r="DA66" i="12"/>
  <c r="DU66" i="12" s="1"/>
  <c r="CN66" i="12"/>
  <c r="CQ66" i="12"/>
  <c r="CQ73" i="12"/>
  <c r="CO73" i="12"/>
  <c r="CP41" i="14"/>
  <c r="CE41" i="14"/>
  <c r="CF104" i="13"/>
  <c r="CX104" i="13"/>
  <c r="DR104" i="13" s="1"/>
  <c r="DY104" i="13" s="1"/>
  <c r="ED104" i="13" s="1"/>
  <c r="CR104" i="13"/>
  <c r="J104" i="13" s="1"/>
  <c r="CP72" i="12"/>
  <c r="CR67" i="12"/>
  <c r="CS67" i="12" s="1"/>
  <c r="CE67" i="12"/>
  <c r="CM37" i="14"/>
  <c r="CQ37" i="14"/>
  <c r="CK108" i="13"/>
  <c r="CZ108" i="13"/>
  <c r="DT108" i="13" s="1"/>
  <c r="CX108" i="13"/>
  <c r="DR108" i="13" s="1"/>
  <c r="CF108" i="13"/>
  <c r="CJ114" i="13"/>
  <c r="CY114" i="13"/>
  <c r="DS114" i="13" s="1"/>
  <c r="CH114" i="13"/>
  <c r="CQ64" i="12"/>
  <c r="CO17" i="15"/>
  <c r="CQ17" i="15"/>
  <c r="CZ36" i="14"/>
  <c r="DT36" i="14" s="1"/>
  <c r="CK36" i="14"/>
  <c r="CO110" i="13"/>
  <c r="CE110" i="13"/>
  <c r="CY65" i="12"/>
  <c r="DS65" i="12" s="1"/>
  <c r="CJ65" i="12"/>
  <c r="CL74" i="12"/>
  <c r="CI74" i="12"/>
  <c r="CS90" i="12"/>
  <c r="CS83" i="14"/>
  <c r="CY115" i="13"/>
  <c r="DS115" i="13" s="1"/>
  <c r="CJ115" i="13"/>
  <c r="CQ113" i="13"/>
  <c r="CI113" i="13"/>
  <c r="CF71" i="12"/>
  <c r="CX71" i="12"/>
  <c r="DR71" i="12" s="1"/>
  <c r="CG71" i="12"/>
  <c r="Y91" i="12"/>
  <c r="CQ91" i="12" s="1"/>
  <c r="N91" i="12"/>
  <c r="W91" i="12"/>
  <c r="CO91" i="12" s="1"/>
  <c r="X91" i="12"/>
  <c r="CP91" i="12" s="1"/>
  <c r="M91" i="12"/>
  <c r="CE91" i="12" s="1"/>
  <c r="V91" i="12"/>
  <c r="U91" i="12"/>
  <c r="CM91" i="12" s="1"/>
  <c r="R91" i="12"/>
  <c r="Q91" i="12"/>
  <c r="CI91" i="12" s="1"/>
  <c r="P91" i="12"/>
  <c r="CH91" i="12" s="1"/>
  <c r="Z91" i="12"/>
  <c r="CR91" i="12" s="1"/>
  <c r="O91" i="12"/>
  <c r="CG91" i="12" s="1"/>
  <c r="T91" i="12"/>
  <c r="CL91" i="12" s="1"/>
  <c r="S91" i="12"/>
  <c r="U98" i="12"/>
  <c r="CM98" i="12" s="1"/>
  <c r="M98" i="12"/>
  <c r="CE98" i="12" s="1"/>
  <c r="T98" i="12"/>
  <c r="CL98" i="12" s="1"/>
  <c r="S98" i="12"/>
  <c r="Z98" i="12"/>
  <c r="CR98" i="12" s="1"/>
  <c r="CS98" i="12" s="1"/>
  <c r="R98" i="12"/>
  <c r="Y98" i="12"/>
  <c r="CQ98" i="12" s="1"/>
  <c r="Q98" i="12"/>
  <c r="CI98" i="12" s="1"/>
  <c r="X98" i="12"/>
  <c r="CP98" i="12" s="1"/>
  <c r="P98" i="12"/>
  <c r="CH98" i="12" s="1"/>
  <c r="W98" i="12"/>
  <c r="CO98" i="12" s="1"/>
  <c r="O98" i="12"/>
  <c r="CG98" i="12" s="1"/>
  <c r="V98" i="12"/>
  <c r="N98" i="12"/>
  <c r="Y152" i="13"/>
  <c r="CQ152" i="13" s="1"/>
  <c r="U152" i="13"/>
  <c r="CM152" i="13" s="1"/>
  <c r="O152" i="13"/>
  <c r="CG152" i="13" s="1"/>
  <c r="M152" i="13"/>
  <c r="CE152" i="13" s="1"/>
  <c r="X152" i="13"/>
  <c r="CP152" i="13" s="1"/>
  <c r="V152" i="13"/>
  <c r="P152" i="13"/>
  <c r="CH152" i="13" s="1"/>
  <c r="N152" i="13"/>
  <c r="Z152" i="13"/>
  <c r="CR152" i="13" s="1"/>
  <c r="CS152" i="13" s="1"/>
  <c r="W152" i="13"/>
  <c r="CO152" i="13" s="1"/>
  <c r="R152" i="13"/>
  <c r="Q152" i="13"/>
  <c r="CI152" i="13" s="1"/>
  <c r="S152" i="13"/>
  <c r="T152" i="13"/>
  <c r="CL152" i="13" s="1"/>
  <c r="Y84" i="14"/>
  <c r="CQ84" i="14" s="1"/>
  <c r="N84" i="14"/>
  <c r="Q84" i="14"/>
  <c r="CI84" i="14" s="1"/>
  <c r="U84" i="14"/>
  <c r="CM84" i="14" s="1"/>
  <c r="X84" i="14"/>
  <c r="CP84" i="14" s="1"/>
  <c r="M84" i="14"/>
  <c r="CE84" i="14" s="1"/>
  <c r="P84" i="14"/>
  <c r="CH84" i="14" s="1"/>
  <c r="T84" i="14"/>
  <c r="CL84" i="14" s="1"/>
  <c r="S84" i="14"/>
  <c r="Z84" i="14"/>
  <c r="CR84" i="14" s="1"/>
  <c r="CS84" i="14" s="1"/>
  <c r="W84" i="14"/>
  <c r="CO84" i="14" s="1"/>
  <c r="R84" i="14"/>
  <c r="V84" i="14"/>
  <c r="O84" i="14"/>
  <c r="CG84" i="14" s="1"/>
  <c r="Z157" i="13"/>
  <c r="CR157" i="13" s="1"/>
  <c r="CS157" i="13" s="1"/>
  <c r="V157" i="13"/>
  <c r="S157" i="13"/>
  <c r="O157" i="13"/>
  <c r="CG157" i="13" s="1"/>
  <c r="T157" i="13"/>
  <c r="CL157" i="13" s="1"/>
  <c r="W157" i="13"/>
  <c r="CO157" i="13" s="1"/>
  <c r="X157" i="13"/>
  <c r="CP157" i="13" s="1"/>
  <c r="M157" i="13"/>
  <c r="CE157" i="13" s="1"/>
  <c r="Q157" i="13"/>
  <c r="CI157" i="13" s="1"/>
  <c r="U157" i="13"/>
  <c r="CM157" i="13" s="1"/>
  <c r="P157" i="13"/>
  <c r="CH157" i="13" s="1"/>
  <c r="N157" i="13"/>
  <c r="Y157" i="13"/>
  <c r="CQ157" i="13" s="1"/>
  <c r="R157" i="13"/>
  <c r="CL40" i="14"/>
  <c r="CH40" i="14"/>
  <c r="CP111" i="13"/>
  <c r="CM111" i="13"/>
  <c r="CE39" i="14"/>
  <c r="CR109" i="13"/>
  <c r="CS109" i="13" s="1"/>
  <c r="CE109" i="13"/>
  <c r="DA70" i="12"/>
  <c r="DU70" i="12" s="1"/>
  <c r="CN70" i="12"/>
  <c r="CP70" i="12"/>
  <c r="CF106" i="13"/>
  <c r="CX106" i="13"/>
  <c r="DR106" i="13" s="1"/>
  <c r="CL106" i="13"/>
  <c r="CI107" i="13"/>
  <c r="DA107" i="13"/>
  <c r="DU107" i="13" s="1"/>
  <c r="CN107" i="13"/>
  <c r="CH42" i="14"/>
  <c r="CZ42" i="14"/>
  <c r="DT42" i="14" s="1"/>
  <c r="CK42" i="14"/>
  <c r="CM105" i="13"/>
  <c r="CR63" i="12"/>
  <c r="J63" i="12" s="1"/>
  <c r="CG63" i="12"/>
  <c r="CQ62" i="12"/>
  <c r="CP62" i="12"/>
  <c r="DR38" i="14"/>
  <c r="CZ38" i="14"/>
  <c r="DT38" i="14" s="1"/>
  <c r="CK38" i="14"/>
  <c r="CI69" i="12"/>
  <c r="CG38" i="14"/>
  <c r="CN112" i="13"/>
  <c r="DA112" i="13"/>
  <c r="DU112" i="13" s="1"/>
  <c r="CM66" i="12"/>
  <c r="CO66" i="12"/>
  <c r="CY73" i="12"/>
  <c r="DS73" i="12" s="1"/>
  <c r="CJ73" i="12"/>
  <c r="CN73" i="12"/>
  <c r="DA73" i="12"/>
  <c r="DU73" i="12" s="1"/>
  <c r="CS106" i="13"/>
  <c r="CH41" i="14"/>
  <c r="CF41" i="14"/>
  <c r="CX41" i="14"/>
  <c r="DR41" i="14" s="1"/>
  <c r="CQ104" i="13"/>
  <c r="CR72" i="12"/>
  <c r="CS72" i="12" s="1"/>
  <c r="DA72" i="12"/>
  <c r="DU72" i="12" s="1"/>
  <c r="CN72" i="12"/>
  <c r="CY67" i="12"/>
  <c r="DS67" i="12" s="1"/>
  <c r="CJ67" i="12"/>
  <c r="CY37" i="14"/>
  <c r="DS37" i="14" s="1"/>
  <c r="CJ37" i="14"/>
  <c r="DA37" i="14"/>
  <c r="DU37" i="14" s="1"/>
  <c r="CN37" i="14"/>
  <c r="CO108" i="13"/>
  <c r="CE108" i="13"/>
  <c r="CX114" i="13"/>
  <c r="DR114" i="13" s="1"/>
  <c r="CF114" i="13"/>
  <c r="CR64" i="12"/>
  <c r="CI64" i="12"/>
  <c r="CZ17" i="15"/>
  <c r="DT17" i="15" s="1"/>
  <c r="CK17" i="15"/>
  <c r="CG17" i="15"/>
  <c r="CG36" i="14"/>
  <c r="CI36" i="14"/>
  <c r="CR110" i="13"/>
  <c r="CS110" i="13" s="1"/>
  <c r="CP110" i="13"/>
  <c r="CE65" i="12"/>
  <c r="CG74" i="12"/>
  <c r="H101" i="12"/>
  <c r="CK115" i="13"/>
  <c r="CZ115" i="13"/>
  <c r="DT115" i="13" s="1"/>
  <c r="CH113" i="13"/>
  <c r="CM113" i="13"/>
  <c r="CN71" i="12"/>
  <c r="DA71" i="12"/>
  <c r="DU71" i="12" s="1"/>
  <c r="CR71" i="12"/>
  <c r="CS71" i="12" s="1"/>
  <c r="V96" i="12"/>
  <c r="S96" i="12"/>
  <c r="N96" i="12"/>
  <c r="Z96" i="12"/>
  <c r="CR96" i="12" s="1"/>
  <c r="CS96" i="12" s="1"/>
  <c r="Q96" i="12"/>
  <c r="CI96" i="12" s="1"/>
  <c r="Y96" i="12"/>
  <c r="CQ96" i="12" s="1"/>
  <c r="X96" i="12"/>
  <c r="CP96" i="12" s="1"/>
  <c r="O96" i="12"/>
  <c r="CG96" i="12" s="1"/>
  <c r="P96" i="12"/>
  <c r="CH96" i="12" s="1"/>
  <c r="M96" i="12"/>
  <c r="CE96" i="12" s="1"/>
  <c r="W96" i="12"/>
  <c r="CO96" i="12" s="1"/>
  <c r="T96" i="12"/>
  <c r="CL96" i="12" s="1"/>
  <c r="U96" i="12"/>
  <c r="CM96" i="12" s="1"/>
  <c r="R96" i="12"/>
  <c r="V88" i="12"/>
  <c r="U88" i="12"/>
  <c r="CM88" i="12" s="1"/>
  <c r="T88" i="12"/>
  <c r="CL88" i="12" s="1"/>
  <c r="S88" i="12"/>
  <c r="N88" i="12"/>
  <c r="M88" i="12"/>
  <c r="CE88" i="12" s="1"/>
  <c r="Z88" i="12"/>
  <c r="CR88" i="12" s="1"/>
  <c r="J88" i="12" s="1"/>
  <c r="W88" i="12"/>
  <c r="CO88" i="12" s="1"/>
  <c r="O88" i="12"/>
  <c r="CG88" i="12" s="1"/>
  <c r="P88" i="12"/>
  <c r="CH88" i="12" s="1"/>
  <c r="X88" i="12"/>
  <c r="CP88" i="12" s="1"/>
  <c r="Q88" i="12"/>
  <c r="CI88" i="12" s="1"/>
  <c r="R88" i="12"/>
  <c r="Y88" i="12"/>
  <c r="CQ88" i="12" s="1"/>
  <c r="S146" i="13"/>
  <c r="Z146" i="13"/>
  <c r="CR146" i="13" s="1"/>
  <c r="J146" i="13" s="1"/>
  <c r="W146" i="13"/>
  <c r="CO146" i="13" s="1"/>
  <c r="R146" i="13"/>
  <c r="U146" i="13"/>
  <c r="CM146" i="13" s="1"/>
  <c r="M146" i="13"/>
  <c r="CE146" i="13" s="1"/>
  <c r="P146" i="13"/>
  <c r="CH146" i="13" s="1"/>
  <c r="O146" i="13"/>
  <c r="CG146" i="13" s="1"/>
  <c r="Y146" i="13"/>
  <c r="CQ146" i="13" s="1"/>
  <c r="X146" i="13"/>
  <c r="CP146" i="13" s="1"/>
  <c r="T146" i="13"/>
  <c r="CL146" i="13" s="1"/>
  <c r="Q146" i="13"/>
  <c r="CI146" i="13" s="1"/>
  <c r="V146" i="13"/>
  <c r="N146" i="13"/>
  <c r="R82" i="14"/>
  <c r="W82" i="14"/>
  <c r="CO82" i="14" s="1"/>
  <c r="U82" i="14"/>
  <c r="CM82" i="14" s="1"/>
  <c r="Y82" i="14"/>
  <c r="CQ82" i="14" s="1"/>
  <c r="M82" i="14"/>
  <c r="CE82" i="14" s="1"/>
  <c r="Q82" i="14"/>
  <c r="CI82" i="14" s="1"/>
  <c r="O82" i="14"/>
  <c r="CG82" i="14" s="1"/>
  <c r="X82" i="14"/>
  <c r="CP82" i="14" s="1"/>
  <c r="T82" i="14"/>
  <c r="CL82" i="14" s="1"/>
  <c r="P82" i="14"/>
  <c r="CH82" i="14" s="1"/>
  <c r="Z82" i="14"/>
  <c r="CR82" i="14" s="1"/>
  <c r="J82" i="14" s="1"/>
  <c r="N82" i="14"/>
  <c r="S82" i="14"/>
  <c r="V82" i="14"/>
  <c r="CO40" i="14"/>
  <c r="CY40" i="14"/>
  <c r="DS40" i="14" s="1"/>
  <c r="CJ40" i="14"/>
  <c r="CK111" i="13"/>
  <c r="CZ111" i="13"/>
  <c r="DT111" i="13" s="1"/>
  <c r="CE111" i="13"/>
  <c r="CR39" i="14"/>
  <c r="J39" i="14" s="1"/>
  <c r="CG109" i="13"/>
  <c r="CL109" i="13"/>
  <c r="CL70" i="12"/>
  <c r="CE70" i="12"/>
  <c r="CJ106" i="13"/>
  <c r="CY106" i="13"/>
  <c r="DS106" i="13" s="1"/>
  <c r="CI106" i="13"/>
  <c r="CE107" i="13"/>
  <c r="CJ107" i="13"/>
  <c r="CY107" i="13"/>
  <c r="DS107" i="13" s="1"/>
  <c r="DZ107" i="13" s="1"/>
  <c r="EE107" i="13" s="1"/>
  <c r="CY42" i="14"/>
  <c r="DS42" i="14" s="1"/>
  <c r="CJ42" i="14"/>
  <c r="DA105" i="13"/>
  <c r="DU105" i="13" s="1"/>
  <c r="CN105" i="13"/>
  <c r="CY105" i="13"/>
  <c r="DS105" i="13" s="1"/>
  <c r="CJ105" i="13"/>
  <c r="CZ63" i="12"/>
  <c r="DT63" i="12" s="1"/>
  <c r="CK63" i="12"/>
  <c r="CM63" i="12"/>
  <c r="CE62" i="12"/>
  <c r="CO62" i="12"/>
  <c r="CX103" i="13"/>
  <c r="DR103" i="13" s="1"/>
  <c r="CF103" i="13"/>
  <c r="CQ69" i="12"/>
  <c r="CL69" i="12"/>
  <c r="DA68" i="12"/>
  <c r="DU68" i="12" s="1"/>
  <c r="CN68" i="12"/>
  <c r="CO38" i="14"/>
  <c r="CP112" i="13"/>
  <c r="CI112" i="13"/>
  <c r="CX66" i="12"/>
  <c r="DR66" i="12" s="1"/>
  <c r="CF66" i="12"/>
  <c r="CZ66" i="12"/>
  <c r="DT66" i="12" s="1"/>
  <c r="CK66" i="12"/>
  <c r="CZ73" i="12"/>
  <c r="DT73" i="12" s="1"/>
  <c r="CK73" i="12"/>
  <c r="CE73" i="12"/>
  <c r="CQ39" i="14"/>
  <c r="CO41" i="14"/>
  <c r="CY41" i="14"/>
  <c r="DS41" i="14" s="1"/>
  <c r="DZ41" i="14" s="1"/>
  <c r="EE41" i="14" s="1"/>
  <c r="CJ41" i="14"/>
  <c r="CM104" i="13"/>
  <c r="CQ72" i="12"/>
  <c r="CH72" i="12"/>
  <c r="DA67" i="12"/>
  <c r="DU67" i="12" s="1"/>
  <c r="CN67" i="12"/>
  <c r="CZ37" i="14"/>
  <c r="DT37" i="14" s="1"/>
  <c r="CK37" i="14"/>
  <c r="CO37" i="14"/>
  <c r="CI108" i="13"/>
  <c r="CL108" i="13"/>
  <c r="CQ114" i="13"/>
  <c r="CZ64" i="12"/>
  <c r="DT64" i="12" s="1"/>
  <c r="CK64" i="12"/>
  <c r="CM64" i="12"/>
  <c r="DU63" i="12"/>
  <c r="DA17" i="15"/>
  <c r="DU17" i="15" s="1"/>
  <c r="CN17" i="15"/>
  <c r="CH17" i="15"/>
  <c r="CM36" i="14"/>
  <c r="CQ36" i="14"/>
  <c r="DA110" i="13"/>
  <c r="DU110" i="13" s="1"/>
  <c r="CN110" i="13"/>
  <c r="CZ65" i="12"/>
  <c r="DT65" i="12" s="1"/>
  <c r="CK65" i="12"/>
  <c r="CG65" i="12"/>
  <c r="CS149" i="13"/>
  <c r="CH115" i="13"/>
  <c r="DA115" i="13"/>
  <c r="DU115" i="13" s="1"/>
  <c r="CN115" i="13"/>
  <c r="CN113" i="13"/>
  <c r="DA113" i="13"/>
  <c r="DU113" i="13" s="1"/>
  <c r="CZ113" i="13"/>
  <c r="DT113" i="13" s="1"/>
  <c r="CK113" i="13"/>
  <c r="CY71" i="12"/>
  <c r="DS71" i="12" s="1"/>
  <c r="CJ71" i="12"/>
  <c r="CI71" i="12"/>
  <c r="V95" i="12"/>
  <c r="P95" i="12"/>
  <c r="CH95" i="12" s="1"/>
  <c r="O95" i="12"/>
  <c r="CG95" i="12" s="1"/>
  <c r="N95" i="12"/>
  <c r="X95" i="12"/>
  <c r="CP95" i="12" s="1"/>
  <c r="W95" i="12"/>
  <c r="CO95" i="12" s="1"/>
  <c r="T95" i="12"/>
  <c r="CL95" i="12" s="1"/>
  <c r="S95" i="12"/>
  <c r="R95" i="12"/>
  <c r="Z95" i="12"/>
  <c r="CR95" i="12" s="1"/>
  <c r="CS95" i="12" s="1"/>
  <c r="Q95" i="12"/>
  <c r="CI95" i="12" s="1"/>
  <c r="M95" i="12"/>
  <c r="CE95" i="12" s="1"/>
  <c r="U95" i="12"/>
  <c r="CM95" i="12" s="1"/>
  <c r="Y95" i="12"/>
  <c r="CQ95" i="12" s="1"/>
  <c r="Y93" i="12"/>
  <c r="CQ93" i="12" s="1"/>
  <c r="M93" i="12"/>
  <c r="CE93" i="12" s="1"/>
  <c r="U93" i="12"/>
  <c r="CM93" i="12" s="1"/>
  <c r="R93" i="12"/>
  <c r="Z93" i="12"/>
  <c r="CR93" i="12" s="1"/>
  <c r="CS93" i="12" s="1"/>
  <c r="N93" i="12"/>
  <c r="V93" i="12"/>
  <c r="W93" i="12"/>
  <c r="CO93" i="12" s="1"/>
  <c r="Q93" i="12"/>
  <c r="CI93" i="12" s="1"/>
  <c r="T93" i="12"/>
  <c r="CL93" i="12" s="1"/>
  <c r="X93" i="12"/>
  <c r="CP93" i="12" s="1"/>
  <c r="S93" i="12"/>
  <c r="O93" i="12"/>
  <c r="CG93" i="12" s="1"/>
  <c r="P93" i="12"/>
  <c r="CH93" i="12" s="1"/>
  <c r="M158" i="13"/>
  <c r="CE158" i="13" s="1"/>
  <c r="R158" i="13"/>
  <c r="U158" i="13"/>
  <c r="CM158" i="13" s="1"/>
  <c r="Q158" i="13"/>
  <c r="CI158" i="13" s="1"/>
  <c r="Y158" i="13"/>
  <c r="CQ158" i="13" s="1"/>
  <c r="V158" i="13"/>
  <c r="N158" i="13"/>
  <c r="O158" i="13"/>
  <c r="CG158" i="13" s="1"/>
  <c r="S158" i="13"/>
  <c r="W158" i="13"/>
  <c r="CO158" i="13" s="1"/>
  <c r="Z158" i="13"/>
  <c r="CR158" i="13" s="1"/>
  <c r="J158" i="13" s="1"/>
  <c r="T158" i="13"/>
  <c r="CL158" i="13" s="1"/>
  <c r="P158" i="13"/>
  <c r="CH158" i="13" s="1"/>
  <c r="X158" i="13"/>
  <c r="CP158" i="13" s="1"/>
  <c r="CG40" i="14"/>
  <c r="CZ40" i="14"/>
  <c r="DT40" i="14" s="1"/>
  <c r="CK40" i="14"/>
  <c r="CO111" i="13"/>
  <c r="CI39" i="14"/>
  <c r="CX109" i="13"/>
  <c r="DR109" i="13" s="1"/>
  <c r="CF109" i="13"/>
  <c r="CO109" i="13"/>
  <c r="CO70" i="12"/>
  <c r="CQ70" i="12"/>
  <c r="CH106" i="13"/>
  <c r="CZ106" i="13"/>
  <c r="DT106" i="13" s="1"/>
  <c r="CK106" i="13"/>
  <c r="CP107" i="13"/>
  <c r="CX107" i="13"/>
  <c r="DR107" i="13" s="1"/>
  <c r="CF107" i="13"/>
  <c r="CE42" i="14"/>
  <c r="CK105" i="13"/>
  <c r="CZ105" i="13"/>
  <c r="DT105" i="13" s="1"/>
  <c r="CE105" i="13"/>
  <c r="CO63" i="12"/>
  <c r="CY63" i="12"/>
  <c r="DS63" i="12" s="1"/>
  <c r="CJ63" i="12"/>
  <c r="CM62" i="12"/>
  <c r="CI62" i="12"/>
  <c r="CY56" i="8"/>
  <c r="DS56" i="8" s="1"/>
  <c r="R57" i="8"/>
  <c r="CZ56" i="8"/>
  <c r="DT56" i="8" s="1"/>
  <c r="S57" i="8"/>
  <c r="DT50" i="8"/>
  <c r="DS52" i="8"/>
  <c r="DS47" i="8"/>
  <c r="DU100" i="8"/>
  <c r="DS45" i="8"/>
  <c r="DU46" i="8"/>
  <c r="DR105" i="8"/>
  <c r="DS50" i="8"/>
  <c r="DU106" i="8"/>
  <c r="DS106" i="8"/>
  <c r="DR96" i="8"/>
  <c r="DR50" i="8"/>
  <c r="DS104" i="8"/>
  <c r="DR106" i="8"/>
  <c r="DT52" i="8"/>
  <c r="DT47" i="8"/>
  <c r="DT97" i="8"/>
  <c r="DT95" i="8"/>
  <c r="DS99" i="8"/>
  <c r="DT102" i="8"/>
  <c r="DS54" i="8"/>
  <c r="DR103" i="8"/>
  <c r="DU105" i="8"/>
  <c r="DR47" i="8"/>
  <c r="DS100" i="8"/>
  <c r="DU97" i="8"/>
  <c r="DS46" i="8"/>
  <c r="DT54" i="8"/>
  <c r="DU103" i="8"/>
  <c r="DT103" i="8"/>
  <c r="DU48" i="8"/>
  <c r="DS105" i="8"/>
  <c r="DR100" i="8"/>
  <c r="DT53" i="8"/>
  <c r="DT45" i="8"/>
  <c r="DS98" i="8"/>
  <c r="DR46" i="8"/>
  <c r="DS95" i="8"/>
  <c r="DS55" i="8"/>
  <c r="DR55" i="8"/>
  <c r="DR99" i="8"/>
  <c r="DR102" i="8"/>
  <c r="DR101" i="8"/>
  <c r="DR54" i="8"/>
  <c r="DR48" i="8"/>
  <c r="DT100" i="8"/>
  <c r="DR53" i="8"/>
  <c r="DR45" i="8"/>
  <c r="DS97" i="8"/>
  <c r="DT46" i="8"/>
  <c r="DU55" i="8"/>
  <c r="DU51" i="8"/>
  <c r="DU99" i="8"/>
  <c r="DU102" i="8"/>
  <c r="DU101" i="8"/>
  <c r="DU54" i="8"/>
  <c r="DU96" i="8"/>
  <c r="DS48" i="8"/>
  <c r="DT105" i="8"/>
  <c r="DU52" i="8"/>
  <c r="DU47" i="8"/>
  <c r="DU53" i="8"/>
  <c r="DU45" i="8"/>
  <c r="DU50" i="8"/>
  <c r="DT98" i="8"/>
  <c r="DU104" i="8"/>
  <c r="DR95" i="8"/>
  <c r="DT51" i="8"/>
  <c r="DT99" i="8"/>
  <c r="DS96" i="8"/>
  <c r="DU98" i="8"/>
  <c r="DR52" i="8"/>
  <c r="DR104" i="8"/>
  <c r="DU95" i="8"/>
  <c r="DR49" i="8"/>
  <c r="DS49" i="8"/>
  <c r="DS51" i="8"/>
  <c r="DS102" i="8"/>
  <c r="DS101" i="8"/>
  <c r="DR56" i="8"/>
  <c r="DT106" i="8"/>
  <c r="DS53" i="8"/>
  <c r="DR98" i="8"/>
  <c r="DT104" i="8"/>
  <c r="DU49" i="8"/>
  <c r="DT49" i="8"/>
  <c r="DT55" i="8"/>
  <c r="DR51" i="8"/>
  <c r="DT96" i="8"/>
  <c r="DT48" i="8"/>
  <c r="DU56" i="8"/>
  <c r="CG104" i="8"/>
  <c r="CF106" i="8"/>
  <c r="CE50" i="8"/>
  <c r="CH50" i="8"/>
  <c r="CJ106" i="8"/>
  <c r="CH104" i="8"/>
  <c r="CK50" i="8"/>
  <c r="CR106" i="8"/>
  <c r="CS106" i="8" s="1"/>
  <c r="CP106" i="8"/>
  <c r="CN106" i="8"/>
  <c r="CE104" i="8"/>
  <c r="CI50" i="8"/>
  <c r="CN50" i="8"/>
  <c r="CI104" i="8"/>
  <c r="CQ104" i="8"/>
  <c r="CJ50" i="8"/>
  <c r="CO50" i="8"/>
  <c r="CG106" i="8"/>
  <c r="CK106" i="8"/>
  <c r="CI106" i="8"/>
  <c r="CN104" i="8"/>
  <c r="CJ104" i="8"/>
  <c r="CG50" i="8"/>
  <c r="CR104" i="8"/>
  <c r="J104" i="8" s="1"/>
  <c r="CO106" i="8"/>
  <c r="CQ50" i="8"/>
  <c r="CP104" i="8"/>
  <c r="CM104" i="8"/>
  <c r="CH106" i="8"/>
  <c r="CL106" i="8"/>
  <c r="CL50" i="8"/>
  <c r="CE106" i="8"/>
  <c r="CR50" i="8"/>
  <c r="CS50" i="8" s="1"/>
  <c r="CO102" i="8"/>
  <c r="CM106" i="8"/>
  <c r="CQ106" i="8"/>
  <c r="CM50" i="8"/>
  <c r="CF104" i="8"/>
  <c r="CK104" i="8"/>
  <c r="CP50" i="8"/>
  <c r="CF50" i="8"/>
  <c r="CL104" i="8"/>
  <c r="CQ52" i="8"/>
  <c r="CF52" i="8"/>
  <c r="CQ47" i="8"/>
  <c r="CK47" i="8"/>
  <c r="CN100" i="8"/>
  <c r="CH100" i="8"/>
  <c r="CL53" i="8"/>
  <c r="CH53" i="8"/>
  <c r="CR45" i="8"/>
  <c r="CK45" i="8"/>
  <c r="CM98" i="8"/>
  <c r="CG98" i="8"/>
  <c r="CK97" i="8"/>
  <c r="CG46" i="8"/>
  <c r="CF46" i="8"/>
  <c r="CN95" i="8"/>
  <c r="CF49" i="8"/>
  <c r="CJ49" i="8"/>
  <c r="CG55" i="8"/>
  <c r="CE55" i="8"/>
  <c r="CN51" i="8"/>
  <c r="CI51" i="8"/>
  <c r="CO99" i="8"/>
  <c r="CR102" i="8"/>
  <c r="CG102" i="8"/>
  <c r="CN54" i="8"/>
  <c r="CE96" i="8"/>
  <c r="CK96" i="8"/>
  <c r="CF103" i="8"/>
  <c r="CR103" i="8"/>
  <c r="CM48" i="8"/>
  <c r="CF56" i="8"/>
  <c r="CQ105" i="8"/>
  <c r="CN105" i="8"/>
  <c r="CH52" i="8"/>
  <c r="CO52" i="8"/>
  <c r="CF47" i="8"/>
  <c r="CL47" i="8"/>
  <c r="CQ100" i="8"/>
  <c r="CP100" i="8"/>
  <c r="CM53" i="8"/>
  <c r="CP53" i="8"/>
  <c r="CH45" i="8"/>
  <c r="CF45" i="8"/>
  <c r="CQ98" i="8"/>
  <c r="CO98" i="8"/>
  <c r="CI97" i="8"/>
  <c r="CN97" i="8"/>
  <c r="CO46" i="8"/>
  <c r="CK46" i="8"/>
  <c r="CG95" i="8"/>
  <c r="CH95" i="8"/>
  <c r="CN49" i="8"/>
  <c r="CK49" i="8"/>
  <c r="CH55" i="8"/>
  <c r="CM55" i="8"/>
  <c r="CK51" i="8"/>
  <c r="CQ51" i="8"/>
  <c r="CG99" i="8"/>
  <c r="CQ99" i="8"/>
  <c r="CJ102" i="8"/>
  <c r="CP101" i="8"/>
  <c r="CF101" i="8"/>
  <c r="CR54" i="8"/>
  <c r="CH54" i="8"/>
  <c r="CF96" i="8"/>
  <c r="CL96" i="8"/>
  <c r="CK103" i="8"/>
  <c r="CR48" i="8"/>
  <c r="CN48" i="8"/>
  <c r="CN56" i="8"/>
  <c r="CJ105" i="8"/>
  <c r="CG105" i="8"/>
  <c r="CJ52" i="8"/>
  <c r="CP52" i="8"/>
  <c r="CG47" i="8"/>
  <c r="CE47" i="8"/>
  <c r="CE100" i="8"/>
  <c r="CJ100" i="8"/>
  <c r="CQ53" i="8"/>
  <c r="CI45" i="8"/>
  <c r="CN45" i="8"/>
  <c r="CJ98" i="8"/>
  <c r="CH98" i="8"/>
  <c r="CQ97" i="8"/>
  <c r="CH46" i="8"/>
  <c r="CL95" i="8"/>
  <c r="CP95" i="8"/>
  <c r="CH49" i="8"/>
  <c r="CL49" i="8"/>
  <c r="CJ55" i="8"/>
  <c r="CF55" i="8"/>
  <c r="CL51" i="8"/>
  <c r="CJ51" i="8"/>
  <c r="CJ99" i="8"/>
  <c r="CI102" i="8"/>
  <c r="CH102" i="8"/>
  <c r="CN101" i="8"/>
  <c r="CE54" i="8"/>
  <c r="CP54" i="8"/>
  <c r="CG96" i="8"/>
  <c r="CO103" i="8"/>
  <c r="CQ48" i="8"/>
  <c r="CF48" i="8"/>
  <c r="CR56" i="8"/>
  <c r="CG56" i="8"/>
  <c r="CR105" i="8"/>
  <c r="CO105" i="8"/>
  <c r="CK52" i="8"/>
  <c r="CL52" i="8"/>
  <c r="CO47" i="8"/>
  <c r="CM47" i="8"/>
  <c r="CF100" i="8"/>
  <c r="CR100" i="8"/>
  <c r="CK53" i="8"/>
  <c r="CQ45" i="8"/>
  <c r="CG45" i="8"/>
  <c r="CR98" i="8"/>
  <c r="CP98" i="8"/>
  <c r="CJ97" i="8"/>
  <c r="CI46" i="8"/>
  <c r="CK95" i="8"/>
  <c r="CI95" i="8"/>
  <c r="CP49" i="8"/>
  <c r="CO55" i="8"/>
  <c r="CN55" i="8"/>
  <c r="CM51" i="8"/>
  <c r="CF51" i="8"/>
  <c r="CM99" i="8"/>
  <c r="CR99" i="8"/>
  <c r="CE102" i="8"/>
  <c r="CP102" i="8"/>
  <c r="CQ101" i="8"/>
  <c r="CG54" i="8"/>
  <c r="CI54" i="8"/>
  <c r="CO96" i="8"/>
  <c r="CH103" i="8"/>
  <c r="CJ48" i="8"/>
  <c r="CG48" i="8"/>
  <c r="CK56" i="8"/>
  <c r="CO56" i="8"/>
  <c r="CK105" i="8"/>
  <c r="CI52" i="8"/>
  <c r="CH47" i="8"/>
  <c r="CN47" i="8"/>
  <c r="CI100" i="8"/>
  <c r="CK100" i="8"/>
  <c r="CR53" i="8"/>
  <c r="CF53" i="8"/>
  <c r="CP45" i="8"/>
  <c r="CO45" i="8"/>
  <c r="CK98" i="8"/>
  <c r="CO97" i="8"/>
  <c r="CR97" i="8"/>
  <c r="CR46" i="8"/>
  <c r="CQ46" i="8"/>
  <c r="CO95" i="8"/>
  <c r="CQ95" i="8"/>
  <c r="CG49" i="8"/>
  <c r="CI55" i="8"/>
  <c r="CG51" i="8"/>
  <c r="CE51" i="8"/>
  <c r="CF99" i="8"/>
  <c r="CK102" i="8"/>
  <c r="CJ101" i="8"/>
  <c r="CL54" i="8"/>
  <c r="CQ54" i="8"/>
  <c r="CM96" i="8"/>
  <c r="CH96" i="8"/>
  <c r="CL48" i="8"/>
  <c r="CO48" i="8"/>
  <c r="CJ56" i="8"/>
  <c r="CH56" i="8"/>
  <c r="CL105" i="8"/>
  <c r="CM52" i="8"/>
  <c r="CP47" i="8"/>
  <c r="CM100" i="8"/>
  <c r="CL100" i="8"/>
  <c r="CE53" i="8"/>
  <c r="CN53" i="8"/>
  <c r="CJ45" i="8"/>
  <c r="CE45" i="8"/>
  <c r="CL98" i="8"/>
  <c r="CP97" i="8"/>
  <c r="CL97" i="8"/>
  <c r="CL46" i="8"/>
  <c r="CN46" i="8"/>
  <c r="CE95" i="8"/>
  <c r="CJ95" i="8"/>
  <c r="CR49" i="8"/>
  <c r="CQ49" i="8"/>
  <c r="CQ55" i="8"/>
  <c r="CO51" i="8"/>
  <c r="CN99" i="8"/>
  <c r="CL102" i="8"/>
  <c r="CG101" i="8"/>
  <c r="CR101" i="8"/>
  <c r="CO54" i="8"/>
  <c r="CJ54" i="8"/>
  <c r="CN96" i="8"/>
  <c r="CP96" i="8"/>
  <c r="CL103" i="8"/>
  <c r="CI103" i="8"/>
  <c r="CI48" i="8"/>
  <c r="CH48" i="8"/>
  <c r="CL56" i="8"/>
  <c r="CP56" i="8"/>
  <c r="CP105" i="8"/>
  <c r="CE105" i="8"/>
  <c r="CR52" i="8"/>
  <c r="CE52" i="8"/>
  <c r="CI47" i="8"/>
  <c r="CG100" i="8"/>
  <c r="CI53" i="8"/>
  <c r="CG53" i="8"/>
  <c r="CL45" i="8"/>
  <c r="CE98" i="8"/>
  <c r="CF98" i="8"/>
  <c r="CG97" i="8"/>
  <c r="CE97" i="8"/>
  <c r="CE46" i="8"/>
  <c r="CP46" i="8"/>
  <c r="CM95" i="8"/>
  <c r="CR95" i="8"/>
  <c r="CE49" i="8"/>
  <c r="CO49" i="8"/>
  <c r="CR55" i="8"/>
  <c r="CK55" i="8"/>
  <c r="CH51" i="8"/>
  <c r="CK99" i="8"/>
  <c r="CH99" i="8"/>
  <c r="CM102" i="8"/>
  <c r="CF102" i="8"/>
  <c r="CL101" i="8"/>
  <c r="CM54" i="8"/>
  <c r="CK54" i="8"/>
  <c r="CQ96" i="8"/>
  <c r="CJ96" i="8"/>
  <c r="CE103" i="8"/>
  <c r="CQ103" i="8"/>
  <c r="CK48" i="8"/>
  <c r="CP48" i="8"/>
  <c r="CE56" i="8"/>
  <c r="CI56" i="8"/>
  <c r="CH105" i="8"/>
  <c r="CM105" i="8"/>
  <c r="CO104" i="8"/>
  <c r="CG52" i="8"/>
  <c r="CN52" i="8"/>
  <c r="CR47" i="8"/>
  <c r="CJ47" i="8"/>
  <c r="CO100" i="8"/>
  <c r="CJ53" i="8"/>
  <c r="CO53" i="8"/>
  <c r="CM45" i="8"/>
  <c r="CI98" i="8"/>
  <c r="CN98" i="8"/>
  <c r="CH97" i="8"/>
  <c r="CM97" i="8"/>
  <c r="CM46" i="8"/>
  <c r="CJ46" i="8"/>
  <c r="CF95" i="8"/>
  <c r="CM49" i="8"/>
  <c r="CI49" i="8"/>
  <c r="CP55" i="8"/>
  <c r="CL55" i="8"/>
  <c r="CR51" i="8"/>
  <c r="CP51" i="8"/>
  <c r="CL99" i="8"/>
  <c r="CP99" i="8"/>
  <c r="CQ102" i="8"/>
  <c r="CN102" i="8"/>
  <c r="CE101" i="8"/>
  <c r="CF54" i="8"/>
  <c r="CI96" i="8"/>
  <c r="CR96" i="8"/>
  <c r="CJ103" i="8"/>
  <c r="CE48" i="8"/>
  <c r="CM56" i="8"/>
  <c r="CQ56" i="8"/>
  <c r="CI105" i="8"/>
  <c r="CF105" i="8"/>
  <c r="G76" i="1"/>
  <c r="G83" i="1"/>
  <c r="I59" i="1"/>
  <c r="J59" i="1" s="1"/>
  <c r="G77" i="1"/>
  <c r="G81" i="1"/>
  <c r="G82" i="1"/>
  <c r="F74" i="1"/>
  <c r="P74" i="1"/>
  <c r="P75" i="1"/>
  <c r="P76" i="1"/>
  <c r="P77" i="1"/>
  <c r="P78" i="1"/>
  <c r="P80" i="1"/>
  <c r="P81" i="1"/>
  <c r="P82" i="1"/>
  <c r="P83" i="1"/>
  <c r="P84" i="1"/>
  <c r="G78" i="1"/>
  <c r="G84" i="1"/>
  <c r="Q83" i="1"/>
  <c r="Q84" i="1"/>
  <c r="G75" i="1"/>
  <c r="G80" i="1"/>
  <c r="I60" i="1"/>
  <c r="J60" i="1" s="1"/>
  <c r="E82" i="1"/>
  <c r="O77" i="1"/>
  <c r="O81" i="1"/>
  <c r="O75" i="1"/>
  <c r="O84" i="1"/>
  <c r="O78" i="1"/>
  <c r="E74" i="1"/>
  <c r="O82" i="1"/>
  <c r="O83" i="1"/>
  <c r="S47" i="1"/>
  <c r="T47" i="1" s="1"/>
  <c r="S51" i="1"/>
  <c r="T51" i="1" s="1"/>
  <c r="I48" i="1"/>
  <c r="J48" i="1" s="1"/>
  <c r="I50" i="1"/>
  <c r="J50" i="1" s="1"/>
  <c r="I52" i="1"/>
  <c r="J52" i="1" s="1"/>
  <c r="I54" i="1"/>
  <c r="J54" i="1" s="1"/>
  <c r="I58" i="1"/>
  <c r="J58" i="1" s="1"/>
  <c r="I62" i="1"/>
  <c r="J62" i="1" s="1"/>
  <c r="I64" i="1"/>
  <c r="J64" i="1" s="1"/>
  <c r="I56" i="1"/>
  <c r="J56" i="1" s="1"/>
  <c r="I53" i="1"/>
  <c r="J53" i="1" s="1"/>
  <c r="I57" i="1"/>
  <c r="J57" i="1" s="1"/>
  <c r="I55" i="1"/>
  <c r="J55" i="1" s="1"/>
  <c r="I63" i="1"/>
  <c r="J63" i="1" s="1"/>
  <c r="I65" i="1"/>
  <c r="J65" i="1" s="1"/>
  <c r="I47" i="1"/>
  <c r="J47" i="1" s="1"/>
  <c r="S57" i="1"/>
  <c r="T57" i="1" s="1"/>
  <c r="S61" i="1"/>
  <c r="T61" i="1" s="1"/>
  <c r="S55" i="1"/>
  <c r="T55" i="1" s="1"/>
  <c r="S63" i="1"/>
  <c r="T63" i="1" s="1"/>
  <c r="I49" i="1"/>
  <c r="J49" i="1" s="1"/>
  <c r="I51" i="1"/>
  <c r="J51" i="1" s="1"/>
  <c r="S50" i="1"/>
  <c r="T50" i="1" s="1"/>
  <c r="S59" i="1"/>
  <c r="T59" i="1" s="1"/>
  <c r="S56" i="1"/>
  <c r="T56" i="1" s="1"/>
  <c r="S53" i="1"/>
  <c r="T53" i="1" s="1"/>
  <c r="S49" i="1"/>
  <c r="T49" i="1" s="1"/>
  <c r="S46" i="1"/>
  <c r="T46" i="1" s="1"/>
  <c r="I61" i="1"/>
  <c r="J61" i="1" s="1"/>
  <c r="U44" i="2"/>
  <c r="T44" i="2"/>
  <c r="U43" i="2"/>
  <c r="T43" i="2"/>
  <c r="U42" i="2"/>
  <c r="T42" i="2"/>
  <c r="U41" i="2"/>
  <c r="T41" i="2"/>
  <c r="U40" i="2"/>
  <c r="T40" i="2"/>
  <c r="U39" i="2"/>
  <c r="T39" i="2"/>
  <c r="U38" i="2"/>
  <c r="T38" i="2"/>
  <c r="U33" i="2"/>
  <c r="T33" i="2"/>
  <c r="U32" i="2"/>
  <c r="T32" i="2"/>
  <c r="U31" i="2"/>
  <c r="T31" i="2"/>
  <c r="U30" i="2"/>
  <c r="T30" i="2"/>
  <c r="U29" i="2"/>
  <c r="T29" i="2"/>
  <c r="BE69" i="3"/>
  <c r="BD69" i="3"/>
  <c r="BC69" i="3"/>
  <c r="BB69" i="3"/>
  <c r="AR69" i="3"/>
  <c r="AQ69" i="3"/>
  <c r="AP69" i="3"/>
  <c r="AO69" i="3"/>
  <c r="AE69" i="3"/>
  <c r="AD69" i="3"/>
  <c r="AC69" i="3"/>
  <c r="AB69" i="3"/>
  <c r="R69" i="3"/>
  <c r="Q69" i="3"/>
  <c r="P69" i="3"/>
  <c r="O69" i="3"/>
  <c r="DY114" i="13" l="1"/>
  <c r="ED114" i="13" s="1"/>
  <c r="DZ67" i="12"/>
  <c r="EE67" i="12" s="1"/>
  <c r="ER81" i="12" s="1"/>
  <c r="FB81" i="12" s="1"/>
  <c r="CF97" i="8"/>
  <c r="CK101" i="8"/>
  <c r="CN103" i="8"/>
  <c r="DZ74" i="12"/>
  <c r="EE73" i="12" s="1"/>
  <c r="CS148" i="13"/>
  <c r="CS150" i="13"/>
  <c r="DZ42" i="14"/>
  <c r="EE42" i="14" s="1"/>
  <c r="CS105" i="13"/>
  <c r="CS147" i="13"/>
  <c r="DY62" i="12"/>
  <c r="CS79" i="14"/>
  <c r="CS81" i="14"/>
  <c r="CS39" i="14"/>
  <c r="DY40" i="14"/>
  <c r="ED40" i="14" s="1"/>
  <c r="DY41" i="14"/>
  <c r="ED41" i="14" s="1"/>
  <c r="CS38" i="14"/>
  <c r="DY109" i="13"/>
  <c r="ED109" i="13" s="1"/>
  <c r="EQ125" i="13" s="1"/>
  <c r="EY125" i="13" s="1"/>
  <c r="FI125" i="13" s="1"/>
  <c r="DY103" i="13"/>
  <c r="ED103" i="13" s="1"/>
  <c r="DZ112" i="13"/>
  <c r="EE112" i="13" s="1"/>
  <c r="ER134" i="13" s="1"/>
  <c r="EZ134" i="13" s="1"/>
  <c r="FJ134" i="13" s="1"/>
  <c r="DZ109" i="13"/>
  <c r="EE109" i="13" s="1"/>
  <c r="ER128" i="13" s="1"/>
  <c r="EZ128" i="13" s="1"/>
  <c r="FJ128" i="13" s="1"/>
  <c r="DY107" i="13"/>
  <c r="ED107" i="13" s="1"/>
  <c r="DZ68" i="12"/>
  <c r="DZ71" i="12"/>
  <c r="EE70" i="12" s="1"/>
  <c r="ER74" i="12" s="1"/>
  <c r="FB74" i="12" s="1"/>
  <c r="DZ69" i="12"/>
  <c r="EE68" i="12" s="1"/>
  <c r="ER70" i="12" s="1"/>
  <c r="FB70" i="12" s="1"/>
  <c r="DZ72" i="12"/>
  <c r="EE71" i="12" s="1"/>
  <c r="ER77" i="12" s="1"/>
  <c r="FB77" i="12" s="1"/>
  <c r="CS74" i="12"/>
  <c r="DY74" i="12"/>
  <c r="ED73" i="12" s="1"/>
  <c r="CS66" i="12"/>
  <c r="CS92" i="12"/>
  <c r="DZ63" i="12"/>
  <c r="EE63" i="12" s="1"/>
  <c r="ER65" i="12" s="1"/>
  <c r="FB65" i="12" s="1"/>
  <c r="DZ40" i="14"/>
  <c r="EE40" i="14" s="1"/>
  <c r="DY64" i="12"/>
  <c r="CS88" i="12"/>
  <c r="DZ113" i="13"/>
  <c r="EE113" i="13" s="1"/>
  <c r="ER135" i="13" s="1"/>
  <c r="EZ135" i="13" s="1"/>
  <c r="FJ135" i="13" s="1"/>
  <c r="CX93" i="12"/>
  <c r="DR93" i="12" s="1"/>
  <c r="CF93" i="12"/>
  <c r="CX95" i="12"/>
  <c r="DR95" i="12" s="1"/>
  <c r="CF95" i="12"/>
  <c r="CJ82" i="14"/>
  <c r="CY82" i="14"/>
  <c r="DS82" i="14" s="1"/>
  <c r="CY88" i="12"/>
  <c r="DS88" i="12" s="1"/>
  <c r="CJ88" i="12"/>
  <c r="CX88" i="12"/>
  <c r="DR88" i="12" s="1"/>
  <c r="CF88" i="12"/>
  <c r="CX96" i="12"/>
  <c r="DR96" i="12" s="1"/>
  <c r="CF96" i="12"/>
  <c r="CJ157" i="13"/>
  <c r="CY157" i="13"/>
  <c r="DS157" i="13" s="1"/>
  <c r="CY84" i="14"/>
  <c r="DS84" i="14" s="1"/>
  <c r="CJ84" i="14"/>
  <c r="CZ91" i="12"/>
  <c r="DT91" i="12" s="1"/>
  <c r="CK91" i="12"/>
  <c r="DA91" i="12"/>
  <c r="DU91" i="12" s="1"/>
  <c r="CN91" i="12"/>
  <c r="EQ158" i="13"/>
  <c r="EY158" i="13" s="1"/>
  <c r="EQ115" i="13"/>
  <c r="EY115" i="13" s="1"/>
  <c r="FI115" i="13" s="1"/>
  <c r="EQ110" i="13"/>
  <c r="EY110" i="13" s="1"/>
  <c r="FI110" i="13" s="1"/>
  <c r="EQ112" i="13"/>
  <c r="EY112" i="13" s="1"/>
  <c r="FI112" i="13" s="1"/>
  <c r="EQ114" i="13"/>
  <c r="EY114" i="13" s="1"/>
  <c r="FI114" i="13" s="1"/>
  <c r="EQ113" i="13"/>
  <c r="EY113" i="13" s="1"/>
  <c r="FI113" i="13" s="1"/>
  <c r="EQ111" i="13"/>
  <c r="EY111" i="13" s="1"/>
  <c r="FI111" i="13" s="1"/>
  <c r="CN153" i="13"/>
  <c r="DA153" i="13"/>
  <c r="DU153" i="13" s="1"/>
  <c r="CX148" i="13"/>
  <c r="DR148" i="13" s="1"/>
  <c r="CF148" i="13"/>
  <c r="DY113" i="13"/>
  <c r="ED113" i="13" s="1"/>
  <c r="EQ135" i="13" s="1"/>
  <c r="EY135" i="13" s="1"/>
  <c r="FI135" i="13" s="1"/>
  <c r="DY111" i="13"/>
  <c r="ED111" i="13" s="1"/>
  <c r="EQ132" i="13" s="1"/>
  <c r="EY132" i="13" s="1"/>
  <c r="FI132" i="13" s="1"/>
  <c r="CK149" i="13"/>
  <c r="CZ149" i="13"/>
  <c r="DT149" i="13" s="1"/>
  <c r="CX94" i="12"/>
  <c r="DR94" i="12" s="1"/>
  <c r="CF94" i="12"/>
  <c r="CY94" i="12"/>
  <c r="DS94" i="12" s="1"/>
  <c r="CJ94" i="12"/>
  <c r="DZ36" i="14"/>
  <c r="ER133" i="13"/>
  <c r="EZ133" i="13" s="1"/>
  <c r="FJ133" i="13" s="1"/>
  <c r="CY85" i="14"/>
  <c r="DS85" i="14" s="1"/>
  <c r="CJ85" i="14"/>
  <c r="CJ151" i="13"/>
  <c r="CY151" i="13"/>
  <c r="DS151" i="13" s="1"/>
  <c r="DA89" i="12"/>
  <c r="DU89" i="12" s="1"/>
  <c r="CN89" i="12"/>
  <c r="CX81" i="14"/>
  <c r="DR81" i="14" s="1"/>
  <c r="CF81" i="14"/>
  <c r="CK147" i="13"/>
  <c r="CZ147" i="13"/>
  <c r="DT147" i="13" s="1"/>
  <c r="CY92" i="12"/>
  <c r="DS92" i="12" s="1"/>
  <c r="CJ92" i="12"/>
  <c r="DY65" i="12"/>
  <c r="CZ90" i="12"/>
  <c r="DT90" i="12" s="1"/>
  <c r="CK90" i="12"/>
  <c r="CZ99" i="12"/>
  <c r="DT99" i="12" s="1"/>
  <c r="CK99" i="12"/>
  <c r="CS146" i="13"/>
  <c r="ER125" i="13"/>
  <c r="EZ125" i="13" s="1"/>
  <c r="FJ125" i="13" s="1"/>
  <c r="ER127" i="13"/>
  <c r="EZ127" i="13" s="1"/>
  <c r="FJ127" i="13" s="1"/>
  <c r="CX147" i="13"/>
  <c r="DR147" i="13" s="1"/>
  <c r="CF147" i="13"/>
  <c r="DY66" i="12"/>
  <c r="ED66" i="12" s="1"/>
  <c r="CS37" i="14"/>
  <c r="CX60" i="15"/>
  <c r="DR60" i="15" s="1"/>
  <c r="CF60" i="15"/>
  <c r="DA100" i="12"/>
  <c r="DU100" i="12" s="1"/>
  <c r="CN100" i="12"/>
  <c r="DA83" i="14"/>
  <c r="DU83" i="14" s="1"/>
  <c r="CN83" i="14"/>
  <c r="CZ81" i="14"/>
  <c r="DT81" i="14" s="1"/>
  <c r="CK81" i="14"/>
  <c r="CN158" i="13"/>
  <c r="DA158" i="13"/>
  <c r="DU158" i="13" s="1"/>
  <c r="CZ93" i="12"/>
  <c r="DT93" i="12" s="1"/>
  <c r="CK93" i="12"/>
  <c r="CY93" i="12"/>
  <c r="DS93" i="12" s="1"/>
  <c r="CJ93" i="12"/>
  <c r="DA146" i="13"/>
  <c r="DU146" i="13" s="1"/>
  <c r="CN146" i="13"/>
  <c r="DA96" i="12"/>
  <c r="DU96" i="12" s="1"/>
  <c r="CN96" i="12"/>
  <c r="CX157" i="13"/>
  <c r="DR157" i="13" s="1"/>
  <c r="CF157" i="13"/>
  <c r="CX84" i="14"/>
  <c r="DR84" i="14" s="1"/>
  <c r="CF84" i="14"/>
  <c r="CF152" i="13"/>
  <c r="CX152" i="13"/>
  <c r="DR152" i="13" s="1"/>
  <c r="CX98" i="12"/>
  <c r="DR98" i="12" s="1"/>
  <c r="CF98" i="12"/>
  <c r="CY98" i="12"/>
  <c r="DS98" i="12" s="1"/>
  <c r="CJ98" i="12"/>
  <c r="DY68" i="12"/>
  <c r="CY60" i="15"/>
  <c r="DS60" i="15" s="1"/>
  <c r="CJ60" i="15"/>
  <c r="DA60" i="15"/>
  <c r="DU60" i="15" s="1"/>
  <c r="CN60" i="15"/>
  <c r="CN97" i="12"/>
  <c r="DA97" i="12"/>
  <c r="DU97" i="12" s="1"/>
  <c r="CY100" i="12"/>
  <c r="DS100" i="12" s="1"/>
  <c r="CJ100" i="12"/>
  <c r="CY149" i="13"/>
  <c r="DS149" i="13" s="1"/>
  <c r="CJ149" i="13"/>
  <c r="CY83" i="14"/>
  <c r="DS83" i="14" s="1"/>
  <c r="CJ83" i="14"/>
  <c r="CF155" i="13"/>
  <c r="CX155" i="13"/>
  <c r="DR155" i="13" s="1"/>
  <c r="CZ94" i="12"/>
  <c r="DT94" i="12" s="1"/>
  <c r="CK94" i="12"/>
  <c r="CS104" i="13"/>
  <c r="CZ151" i="13"/>
  <c r="DT151" i="13" s="1"/>
  <c r="CK151" i="13"/>
  <c r="CX89" i="12"/>
  <c r="DR89" i="12" s="1"/>
  <c r="CF89" i="12"/>
  <c r="DA81" i="14"/>
  <c r="DU81" i="14" s="1"/>
  <c r="CN81" i="14"/>
  <c r="CY154" i="13"/>
  <c r="DS154" i="13" s="1"/>
  <c r="CJ154" i="13"/>
  <c r="DA92" i="12"/>
  <c r="DU92" i="12" s="1"/>
  <c r="CN92" i="12"/>
  <c r="CS107" i="13"/>
  <c r="CX150" i="13"/>
  <c r="DR150" i="13" s="1"/>
  <c r="CF150" i="13"/>
  <c r="CX99" i="12"/>
  <c r="DR99" i="12" s="1"/>
  <c r="CF99" i="12"/>
  <c r="DZ104" i="13"/>
  <c r="EE104" i="13" s="1"/>
  <c r="DY112" i="13"/>
  <c r="ED112" i="13" s="1"/>
  <c r="CX146" i="13"/>
  <c r="DR146" i="13" s="1"/>
  <c r="CF146" i="13"/>
  <c r="CZ88" i="12"/>
  <c r="DT88" i="12" s="1"/>
  <c r="CK88" i="12"/>
  <c r="CX153" i="13"/>
  <c r="DR153" i="13" s="1"/>
  <c r="CF153" i="13"/>
  <c r="DA94" i="12"/>
  <c r="DU94" i="12" s="1"/>
  <c r="CN94" i="12"/>
  <c r="CY89" i="12"/>
  <c r="DS89" i="12" s="1"/>
  <c r="CJ89" i="12"/>
  <c r="CY95" i="12"/>
  <c r="DS95" i="12" s="1"/>
  <c r="CJ95" i="12"/>
  <c r="DA95" i="12"/>
  <c r="DU95" i="12" s="1"/>
  <c r="CN95" i="12"/>
  <c r="DA82" i="14"/>
  <c r="DU82" i="14" s="1"/>
  <c r="CN82" i="14"/>
  <c r="CJ146" i="13"/>
  <c r="CY146" i="13"/>
  <c r="DS146" i="13" s="1"/>
  <c r="DY106" i="13"/>
  <c r="ED106" i="13" s="1"/>
  <c r="EQ120" i="13" s="1"/>
  <c r="EY120" i="13" s="1"/>
  <c r="FI120" i="13" s="1"/>
  <c r="CK157" i="13"/>
  <c r="CZ157" i="13"/>
  <c r="DT157" i="13" s="1"/>
  <c r="CK84" i="14"/>
  <c r="CZ84" i="14"/>
  <c r="DT84" i="14" s="1"/>
  <c r="DA98" i="12"/>
  <c r="DU98" i="12" s="1"/>
  <c r="CN98" i="12"/>
  <c r="CS91" i="12"/>
  <c r="J91" i="12"/>
  <c r="DZ65" i="12"/>
  <c r="EE65" i="12" s="1"/>
  <c r="ER67" i="12" s="1"/>
  <c r="FB67" i="12" s="1"/>
  <c r="CS60" i="15"/>
  <c r="J60" i="15"/>
  <c r="CJ80" i="14"/>
  <c r="CY80" i="14"/>
  <c r="DS80" i="14" s="1"/>
  <c r="CS100" i="12"/>
  <c r="J100" i="12"/>
  <c r="DY70" i="12"/>
  <c r="ED69" i="12" s="1"/>
  <c r="DZ111" i="13"/>
  <c r="EE111" i="13" s="1"/>
  <c r="ER132" i="13" s="1"/>
  <c r="EZ132" i="13" s="1"/>
  <c r="FJ132" i="13" s="1"/>
  <c r="CN149" i="13"/>
  <c r="DA149" i="13"/>
  <c r="DU149" i="13" s="1"/>
  <c r="CN155" i="13"/>
  <c r="DA155" i="13"/>
  <c r="DU155" i="13" s="1"/>
  <c r="DZ17" i="15"/>
  <c r="CS36" i="14"/>
  <c r="CF79" i="14"/>
  <c r="CX79" i="14"/>
  <c r="DR79" i="14" s="1"/>
  <c r="CS65" i="12"/>
  <c r="J65" i="12"/>
  <c r="CZ154" i="13"/>
  <c r="DT154" i="13" s="1"/>
  <c r="CK154" i="13"/>
  <c r="CY147" i="13"/>
  <c r="DS147" i="13" s="1"/>
  <c r="CJ147" i="13"/>
  <c r="DY110" i="13"/>
  <c r="ED110" i="13" s="1"/>
  <c r="DY67" i="12"/>
  <c r="ED67" i="12" s="1"/>
  <c r="DY39" i="14"/>
  <c r="ED39" i="14" s="1"/>
  <c r="CX156" i="13"/>
  <c r="DR156" i="13" s="1"/>
  <c r="CF156" i="13"/>
  <c r="CY150" i="13"/>
  <c r="DS150" i="13" s="1"/>
  <c r="CJ150" i="13"/>
  <c r="EQ128" i="13"/>
  <c r="EY128" i="13" s="1"/>
  <c r="FI128" i="13" s="1"/>
  <c r="CZ95" i="12"/>
  <c r="DT95" i="12" s="1"/>
  <c r="CK95" i="12"/>
  <c r="CZ82" i="14"/>
  <c r="DT82" i="14" s="1"/>
  <c r="CK82" i="14"/>
  <c r="DA88" i="12"/>
  <c r="DU88" i="12" s="1"/>
  <c r="CN88" i="12"/>
  <c r="CN157" i="13"/>
  <c r="DA157" i="13"/>
  <c r="DU157" i="13" s="1"/>
  <c r="DA152" i="13"/>
  <c r="DU152" i="13" s="1"/>
  <c r="CN152" i="13"/>
  <c r="CZ98" i="12"/>
  <c r="DT98" i="12" s="1"/>
  <c r="CK98" i="12"/>
  <c r="CX91" i="12"/>
  <c r="DR91" i="12" s="1"/>
  <c r="DY91" i="12" s="1"/>
  <c r="CF91" i="12"/>
  <c r="DZ115" i="13"/>
  <c r="EE115" i="13" s="1"/>
  <c r="DZ114" i="13"/>
  <c r="EE114" i="13" s="1"/>
  <c r="CK153" i="13"/>
  <c r="CZ153" i="13"/>
  <c r="DT153" i="13" s="1"/>
  <c r="CX97" i="12"/>
  <c r="DR97" i="12" s="1"/>
  <c r="CF97" i="12"/>
  <c r="CX100" i="12"/>
  <c r="DR100" i="12" s="1"/>
  <c r="DY100" i="12" s="1"/>
  <c r="ED99" i="12" s="1"/>
  <c r="CF100" i="12"/>
  <c r="DZ38" i="14"/>
  <c r="EE38" i="14" s="1"/>
  <c r="DY63" i="12"/>
  <c r="CY79" i="14"/>
  <c r="DS79" i="14" s="1"/>
  <c r="CJ79" i="14"/>
  <c r="CS62" i="12"/>
  <c r="CX154" i="13"/>
  <c r="DR154" i="13" s="1"/>
  <c r="CF154" i="13"/>
  <c r="DA147" i="13"/>
  <c r="DU147" i="13" s="1"/>
  <c r="CN147" i="13"/>
  <c r="DY69" i="12"/>
  <c r="ED68" i="12" s="1"/>
  <c r="CY99" i="12"/>
  <c r="DS99" i="12" s="1"/>
  <c r="CJ99" i="12"/>
  <c r="DA99" i="12"/>
  <c r="DU99" i="12" s="1"/>
  <c r="CN99" i="12"/>
  <c r="DY37" i="14"/>
  <c r="ED37" i="14" s="1"/>
  <c r="DZ105" i="13"/>
  <c r="EE105" i="13" s="1"/>
  <c r="CF82" i="14"/>
  <c r="CX82" i="14"/>
  <c r="DR82" i="14" s="1"/>
  <c r="CY96" i="12"/>
  <c r="DS96" i="12" s="1"/>
  <c r="DZ96" i="12" s="1"/>
  <c r="EE95" i="12" s="1"/>
  <c r="CJ96" i="12"/>
  <c r="DZ73" i="12"/>
  <c r="EE72" i="12" s="1"/>
  <c r="CZ152" i="13"/>
  <c r="DT152" i="13" s="1"/>
  <c r="CK152" i="13"/>
  <c r="CZ60" i="15"/>
  <c r="DT60" i="15" s="1"/>
  <c r="CK60" i="15"/>
  <c r="CF80" i="14"/>
  <c r="CX80" i="14"/>
  <c r="DR80" i="14" s="1"/>
  <c r="CS80" i="14"/>
  <c r="J80" i="14"/>
  <c r="CZ100" i="12"/>
  <c r="DT100" i="12" s="1"/>
  <c r="CK100" i="12"/>
  <c r="CF83" i="14"/>
  <c r="CX83" i="14"/>
  <c r="DR83" i="14" s="1"/>
  <c r="CK155" i="13"/>
  <c r="CZ155" i="13"/>
  <c r="DT155" i="13" s="1"/>
  <c r="CS158" i="13"/>
  <c r="CS63" i="12"/>
  <c r="CX85" i="14"/>
  <c r="DR85" i="14" s="1"/>
  <c r="CF85" i="14"/>
  <c r="CK79" i="14"/>
  <c r="CZ79" i="14"/>
  <c r="DT79" i="14" s="1"/>
  <c r="CN79" i="14"/>
  <c r="DA79" i="14"/>
  <c r="DU79" i="14" s="1"/>
  <c r="CN151" i="13"/>
  <c r="DA151" i="13"/>
  <c r="DU151" i="13" s="1"/>
  <c r="CZ89" i="12"/>
  <c r="DT89" i="12" s="1"/>
  <c r="CK89" i="12"/>
  <c r="DY42" i="14"/>
  <c r="ED42" i="14" s="1"/>
  <c r="CY81" i="14"/>
  <c r="DS81" i="14" s="1"/>
  <c r="CJ81" i="14"/>
  <c r="DY72" i="12"/>
  <c r="ED71" i="12" s="1"/>
  <c r="EQ77" i="12" s="1"/>
  <c r="FA77" i="12" s="1"/>
  <c r="CS40" i="14"/>
  <c r="J40" i="14"/>
  <c r="CK156" i="13"/>
  <c r="CZ156" i="13"/>
  <c r="DT156" i="13" s="1"/>
  <c r="CN156" i="13"/>
  <c r="DA156" i="13"/>
  <c r="DU156" i="13" s="1"/>
  <c r="CX158" i="13"/>
  <c r="DR158" i="13" s="1"/>
  <c r="CF158" i="13"/>
  <c r="CZ96" i="12"/>
  <c r="DT96" i="12" s="1"/>
  <c r="CK96" i="12"/>
  <c r="CN80" i="14"/>
  <c r="DA80" i="14"/>
  <c r="DU80" i="14" s="1"/>
  <c r="CY97" i="12"/>
  <c r="DS97" i="12" s="1"/>
  <c r="CJ97" i="12"/>
  <c r="CY158" i="13"/>
  <c r="DS158" i="13" s="1"/>
  <c r="CJ158" i="13"/>
  <c r="EQ106" i="13"/>
  <c r="EY106" i="13" s="1"/>
  <c r="FI106" i="13" s="1"/>
  <c r="EQ108" i="13"/>
  <c r="EY108" i="13" s="1"/>
  <c r="FI108" i="13" s="1"/>
  <c r="EQ105" i="13"/>
  <c r="EY105" i="13" s="1"/>
  <c r="FI105" i="13" s="1"/>
  <c r="EQ103" i="13"/>
  <c r="EQ107" i="13"/>
  <c r="EY107" i="13" s="1"/>
  <c r="FI107" i="13" s="1"/>
  <c r="EQ104" i="13"/>
  <c r="EY104" i="13" s="1"/>
  <c r="FI104" i="13" s="1"/>
  <c r="EQ109" i="13"/>
  <c r="EY109" i="13" s="1"/>
  <c r="FI109" i="13" s="1"/>
  <c r="DZ106" i="13"/>
  <c r="EE106" i="13" s="1"/>
  <c r="ER120" i="13" s="1"/>
  <c r="EZ120" i="13" s="1"/>
  <c r="FJ120" i="13" s="1"/>
  <c r="CZ146" i="13"/>
  <c r="DT146" i="13" s="1"/>
  <c r="CK146" i="13"/>
  <c r="CY91" i="12"/>
  <c r="DS91" i="12" s="1"/>
  <c r="CJ91" i="12"/>
  <c r="CK80" i="14"/>
  <c r="CZ80" i="14"/>
  <c r="DT80" i="14" s="1"/>
  <c r="CK148" i="13"/>
  <c r="CZ148" i="13"/>
  <c r="DT148" i="13" s="1"/>
  <c r="CY148" i="13"/>
  <c r="DS148" i="13" s="1"/>
  <c r="CJ148" i="13"/>
  <c r="CZ97" i="12"/>
  <c r="DT97" i="12" s="1"/>
  <c r="CK97" i="12"/>
  <c r="DY36" i="14"/>
  <c r="CF149" i="13"/>
  <c r="CX149" i="13"/>
  <c r="DR149" i="13" s="1"/>
  <c r="CK83" i="14"/>
  <c r="CZ83" i="14"/>
  <c r="DT83" i="14" s="1"/>
  <c r="CY155" i="13"/>
  <c r="DS155" i="13" s="1"/>
  <c r="CJ155" i="13"/>
  <c r="DY105" i="13"/>
  <c r="ED105" i="13" s="1"/>
  <c r="DZ39" i="14"/>
  <c r="EE39" i="14" s="1"/>
  <c r="CZ85" i="14"/>
  <c r="DT85" i="14" s="1"/>
  <c r="CK85" i="14"/>
  <c r="DZ62" i="12"/>
  <c r="CK92" i="12"/>
  <c r="CZ92" i="12"/>
  <c r="DT92" i="12" s="1"/>
  <c r="CX92" i="12"/>
  <c r="DR92" i="12" s="1"/>
  <c r="CF92" i="12"/>
  <c r="DZ108" i="13"/>
  <c r="EE108" i="13" s="1"/>
  <c r="DZ70" i="12"/>
  <c r="EE69" i="12" s="1"/>
  <c r="CX90" i="12"/>
  <c r="DR90" i="12" s="1"/>
  <c r="CF90" i="12"/>
  <c r="CY90" i="12"/>
  <c r="DS90" i="12" s="1"/>
  <c r="DZ90" i="12" s="1"/>
  <c r="CJ90" i="12"/>
  <c r="DY115" i="13"/>
  <c r="ED115" i="13" s="1"/>
  <c r="DZ110" i="13"/>
  <c r="EE110" i="13" s="1"/>
  <c r="CS115" i="13"/>
  <c r="DZ103" i="13"/>
  <c r="EE103" i="13" s="1"/>
  <c r="EQ137" i="13"/>
  <c r="EQ136" i="13"/>
  <c r="EY136" i="13" s="1"/>
  <c r="FI136" i="13" s="1"/>
  <c r="CJ153" i="13"/>
  <c r="CY153" i="13"/>
  <c r="DS153" i="13" s="1"/>
  <c r="CZ158" i="13"/>
  <c r="DT158" i="13" s="1"/>
  <c r="CK158" i="13"/>
  <c r="CN93" i="12"/>
  <c r="DA93" i="12"/>
  <c r="DU93" i="12" s="1"/>
  <c r="CS64" i="12"/>
  <c r="J64" i="12"/>
  <c r="DZ37" i="14"/>
  <c r="EE37" i="14" s="1"/>
  <c r="DA84" i="14"/>
  <c r="DU84" i="14" s="1"/>
  <c r="CN84" i="14"/>
  <c r="CY152" i="13"/>
  <c r="DS152" i="13" s="1"/>
  <c r="CJ152" i="13"/>
  <c r="DY71" i="12"/>
  <c r="ED70" i="12" s="1"/>
  <c r="DY108" i="13"/>
  <c r="ED108" i="13" s="1"/>
  <c r="CN148" i="13"/>
  <c r="DA148" i="13"/>
  <c r="DU148" i="13" s="1"/>
  <c r="CS17" i="15"/>
  <c r="J17" i="15"/>
  <c r="DY73" i="12"/>
  <c r="ED72" i="12" s="1"/>
  <c r="CS82" i="14"/>
  <c r="CN85" i="14"/>
  <c r="DA85" i="14"/>
  <c r="DU85" i="14" s="1"/>
  <c r="CF151" i="13"/>
  <c r="CX151" i="13"/>
  <c r="DR151" i="13" s="1"/>
  <c r="DY151" i="13" s="1"/>
  <c r="ED151" i="13" s="1"/>
  <c r="CN154" i="13"/>
  <c r="DA154" i="13"/>
  <c r="DU154" i="13" s="1"/>
  <c r="DY17" i="15"/>
  <c r="DZ66" i="12"/>
  <c r="EE66" i="12" s="1"/>
  <c r="DY38" i="14"/>
  <c r="ED38" i="14" s="1"/>
  <c r="CY156" i="13"/>
  <c r="DS156" i="13" s="1"/>
  <c r="CJ156" i="13"/>
  <c r="CN150" i="13"/>
  <c r="DA150" i="13"/>
  <c r="DU150" i="13" s="1"/>
  <c r="CK150" i="13"/>
  <c r="CZ150" i="13"/>
  <c r="DT150" i="13" s="1"/>
  <c r="DA90" i="12"/>
  <c r="DU90" i="12" s="1"/>
  <c r="CN90" i="12"/>
  <c r="DZ64" i="12"/>
  <c r="DZ97" i="8"/>
  <c r="DZ50" i="8"/>
  <c r="DY54" i="8"/>
  <c r="DY103" i="8"/>
  <c r="DY99" i="8"/>
  <c r="DZ98" i="8"/>
  <c r="DY98" i="8"/>
  <c r="DY95" i="8"/>
  <c r="ER94" i="8" s="1"/>
  <c r="DY100" i="8"/>
  <c r="DZ96" i="8"/>
  <c r="DZ95" i="8"/>
  <c r="ES94" i="8" s="1"/>
  <c r="DY101" i="8"/>
  <c r="DY102" i="8"/>
  <c r="DY104" i="8"/>
  <c r="DY51" i="8"/>
  <c r="DZ103" i="8"/>
  <c r="DZ99" i="8"/>
  <c r="DZ102" i="8"/>
  <c r="DZ101" i="8"/>
  <c r="DZ100" i="8"/>
  <c r="DY97" i="8"/>
  <c r="DY96" i="8"/>
  <c r="DZ51" i="8"/>
  <c r="DZ104" i="8"/>
  <c r="DY46" i="8"/>
  <c r="DY53" i="8"/>
  <c r="DZ45" i="8"/>
  <c r="ES45" i="8" s="1"/>
  <c r="DZ54" i="8"/>
  <c r="DY50" i="8"/>
  <c r="DZ47" i="8"/>
  <c r="DY48" i="8"/>
  <c r="DZ49" i="8"/>
  <c r="DZ48" i="8"/>
  <c r="DZ52" i="8"/>
  <c r="DY52" i="8"/>
  <c r="DY49" i="8"/>
  <c r="DZ46" i="8"/>
  <c r="DY45" i="8"/>
  <c r="DZ53" i="8"/>
  <c r="DY47" i="8"/>
  <c r="CS104" i="8"/>
  <c r="J50" i="8"/>
  <c r="J106" i="8"/>
  <c r="CS54" i="8"/>
  <c r="J54" i="8"/>
  <c r="CS99" i="8"/>
  <c r="J99" i="8"/>
  <c r="CS105" i="8"/>
  <c r="J105" i="8"/>
  <c r="CS45" i="8"/>
  <c r="J45" i="8"/>
  <c r="CS47" i="8"/>
  <c r="J47" i="8"/>
  <c r="CS95" i="8"/>
  <c r="J95" i="8"/>
  <c r="CS49" i="8"/>
  <c r="J49" i="8"/>
  <c r="CS100" i="8"/>
  <c r="J100" i="8"/>
  <c r="CS48" i="8"/>
  <c r="J48" i="8"/>
  <c r="CS52" i="8"/>
  <c r="J52" i="8"/>
  <c r="CS98" i="8"/>
  <c r="J98" i="8"/>
  <c r="CS56" i="8"/>
  <c r="J56" i="8"/>
  <c r="CS103" i="8"/>
  <c r="J103" i="8"/>
  <c r="CS51" i="8"/>
  <c r="J51" i="8"/>
  <c r="CS55" i="8"/>
  <c r="J55" i="8"/>
  <c r="CS101" i="8"/>
  <c r="J101" i="8"/>
  <c r="CS46" i="8"/>
  <c r="J46" i="8"/>
  <c r="CS96" i="8"/>
  <c r="J96" i="8"/>
  <c r="CS97" i="8"/>
  <c r="J97" i="8"/>
  <c r="CS53" i="8"/>
  <c r="J53" i="8"/>
  <c r="CS102" i="8"/>
  <c r="J102" i="8"/>
  <c r="C69" i="3"/>
  <c r="D69" i="3"/>
  <c r="E69" i="3"/>
  <c r="B69" i="3"/>
  <c r="DY83" i="14" l="1"/>
  <c r="ED83" i="14" s="1"/>
  <c r="DY82" i="14"/>
  <c r="ED82" i="14" s="1"/>
  <c r="DY158" i="13"/>
  <c r="ED158" i="13" s="1"/>
  <c r="DZ149" i="13"/>
  <c r="EE149" i="13" s="1"/>
  <c r="EE64" i="12"/>
  <c r="ER66" i="12" s="1"/>
  <c r="FB66" i="12" s="1"/>
  <c r="EE62" i="12"/>
  <c r="ER80" i="12"/>
  <c r="FB80" i="12" s="1"/>
  <c r="ER76" i="12"/>
  <c r="FB76" i="12" s="1"/>
  <c r="ER75" i="12"/>
  <c r="FB75" i="12" s="1"/>
  <c r="DZ153" i="13"/>
  <c r="EE153" i="13" s="1"/>
  <c r="ER173" i="13" s="1"/>
  <c r="EZ173" i="13" s="1"/>
  <c r="DZ152" i="13"/>
  <c r="EE152" i="13" s="1"/>
  <c r="ER172" i="13" s="1"/>
  <c r="EZ172" i="13" s="1"/>
  <c r="DZ91" i="12"/>
  <c r="DZ81" i="14"/>
  <c r="EE81" i="14" s="1"/>
  <c r="ER126" i="13"/>
  <c r="EZ126" i="13" s="1"/>
  <c r="FJ126" i="13" s="1"/>
  <c r="DZ99" i="12"/>
  <c r="EE98" i="12" s="1"/>
  <c r="ER104" i="12" s="1"/>
  <c r="FB104" i="12" s="1"/>
  <c r="ER129" i="13"/>
  <c r="EZ129" i="13" s="1"/>
  <c r="FJ129" i="13" s="1"/>
  <c r="EQ127" i="13"/>
  <c r="EY127" i="13" s="1"/>
  <c r="FI127" i="13" s="1"/>
  <c r="EQ126" i="13"/>
  <c r="EY126" i="13" s="1"/>
  <c r="FI126" i="13" s="1"/>
  <c r="ER68" i="12"/>
  <c r="FB68" i="12" s="1"/>
  <c r="EQ129" i="13"/>
  <c r="EY129" i="13" s="1"/>
  <c r="FI129" i="13" s="1"/>
  <c r="ER69" i="12"/>
  <c r="FB69" i="12" s="1"/>
  <c r="DZ147" i="13"/>
  <c r="EE147" i="13" s="1"/>
  <c r="ER153" i="13" s="1"/>
  <c r="EZ153" i="13" s="1"/>
  <c r="FJ153" i="13" s="1"/>
  <c r="DY153" i="13"/>
  <c r="ED153" i="13" s="1"/>
  <c r="EQ173" i="13" s="1"/>
  <c r="EY173" i="13" s="1"/>
  <c r="DZ156" i="13"/>
  <c r="EE156" i="13" s="1"/>
  <c r="ER178" i="13" s="1"/>
  <c r="EZ178" i="13" s="1"/>
  <c r="DY149" i="13"/>
  <c r="ED149" i="13" s="1"/>
  <c r="DY146" i="13"/>
  <c r="ED146" i="13" s="1"/>
  <c r="EQ151" i="13" s="1"/>
  <c r="EY151" i="13" s="1"/>
  <c r="FI151" i="13" s="1"/>
  <c r="ED116" i="13"/>
  <c r="ED63" i="12"/>
  <c r="EQ65" i="12" s="1"/>
  <c r="FA65" i="12" s="1"/>
  <c r="ED64" i="12"/>
  <c r="EQ66" i="12" s="1"/>
  <c r="FA66" i="12" s="1"/>
  <c r="DY97" i="12"/>
  <c r="ED96" i="12" s="1"/>
  <c r="EQ100" i="12" s="1"/>
  <c r="FA100" i="12" s="1"/>
  <c r="DY92" i="12"/>
  <c r="ED92" i="12" s="1"/>
  <c r="EQ88" i="12" s="1"/>
  <c r="DY89" i="12"/>
  <c r="DZ95" i="12"/>
  <c r="EE94" i="12" s="1"/>
  <c r="ER95" i="12" s="1"/>
  <c r="FB95" i="12" s="1"/>
  <c r="DY90" i="12"/>
  <c r="DZ80" i="14"/>
  <c r="EE80" i="14" s="1"/>
  <c r="DZ155" i="13"/>
  <c r="EE155" i="13" s="1"/>
  <c r="ED62" i="12"/>
  <c r="EQ64" i="12" s="1"/>
  <c r="FA64" i="12" s="1"/>
  <c r="ER64" i="12"/>
  <c r="FB64" i="12" s="1"/>
  <c r="EE74" i="12"/>
  <c r="DY85" i="14"/>
  <c r="ED85" i="14" s="1"/>
  <c r="DY154" i="13"/>
  <c r="ED154" i="13" s="1"/>
  <c r="EQ175" i="13" s="1"/>
  <c r="EY175" i="13" s="1"/>
  <c r="EQ81" i="12"/>
  <c r="FA81" i="12" s="1"/>
  <c r="EQ80" i="12"/>
  <c r="FA80" i="12" s="1"/>
  <c r="DY79" i="14"/>
  <c r="DY99" i="12"/>
  <c r="ED98" i="12" s="1"/>
  <c r="DZ151" i="13"/>
  <c r="EE151" i="13" s="1"/>
  <c r="DZ94" i="12"/>
  <c r="EE90" i="12" s="1"/>
  <c r="ER92" i="12" s="1"/>
  <c r="FB92" i="12" s="1"/>
  <c r="DY148" i="13"/>
  <c r="ED148" i="13" s="1"/>
  <c r="DZ84" i="14"/>
  <c r="EE84" i="14" s="1"/>
  <c r="DZ88" i="12"/>
  <c r="EQ76" i="12"/>
  <c r="FA76" i="12" s="1"/>
  <c r="EQ75" i="12"/>
  <c r="FA75" i="12" s="1"/>
  <c r="EQ74" i="12"/>
  <c r="FA74" i="12" s="1"/>
  <c r="ER78" i="12"/>
  <c r="FB78" i="12" s="1"/>
  <c r="ER79" i="12"/>
  <c r="FB79" i="12" s="1"/>
  <c r="EQ131" i="13"/>
  <c r="EY131" i="13" s="1"/>
  <c r="FI131" i="13" s="1"/>
  <c r="EQ130" i="13"/>
  <c r="EY130" i="13" s="1"/>
  <c r="FI130" i="13" s="1"/>
  <c r="EQ73" i="12"/>
  <c r="FA73" i="12" s="1"/>
  <c r="EQ72" i="12"/>
  <c r="FA72" i="12" s="1"/>
  <c r="EQ71" i="12"/>
  <c r="FA71" i="12" s="1"/>
  <c r="DY155" i="13"/>
  <c r="ED155" i="13" s="1"/>
  <c r="DZ60" i="15"/>
  <c r="DZ92" i="12"/>
  <c r="EE92" i="12" s="1"/>
  <c r="DZ157" i="13"/>
  <c r="EE157" i="13" s="1"/>
  <c r="DZ82" i="14"/>
  <c r="EE82" i="14" s="1"/>
  <c r="EY103" i="13"/>
  <c r="EQ124" i="13"/>
  <c r="EY124" i="13" s="1"/>
  <c r="FI124" i="13" s="1"/>
  <c r="EQ121" i="13"/>
  <c r="EY121" i="13" s="1"/>
  <c r="FI121" i="13" s="1"/>
  <c r="EQ123" i="13"/>
  <c r="EY123" i="13" s="1"/>
  <c r="FI123" i="13" s="1"/>
  <c r="EQ122" i="13"/>
  <c r="EY122" i="13" s="1"/>
  <c r="FI122" i="13" s="1"/>
  <c r="ER106" i="13"/>
  <c r="EZ106" i="13" s="1"/>
  <c r="FJ106" i="13" s="1"/>
  <c r="ER105" i="13"/>
  <c r="EZ105" i="13" s="1"/>
  <c r="FJ105" i="13" s="1"/>
  <c r="ER103" i="13"/>
  <c r="ER108" i="13"/>
  <c r="EZ108" i="13" s="1"/>
  <c r="FJ108" i="13" s="1"/>
  <c r="ER104" i="13"/>
  <c r="EZ104" i="13" s="1"/>
  <c r="FJ104" i="13" s="1"/>
  <c r="ER107" i="13"/>
  <c r="EZ107" i="13" s="1"/>
  <c r="FJ107" i="13" s="1"/>
  <c r="ER109" i="13"/>
  <c r="EZ109" i="13" s="1"/>
  <c r="FJ109" i="13" s="1"/>
  <c r="ER72" i="12"/>
  <c r="FB72" i="12" s="1"/>
  <c r="ER71" i="12"/>
  <c r="FB71" i="12" s="1"/>
  <c r="ER73" i="12"/>
  <c r="FB73" i="12" s="1"/>
  <c r="ER62" i="12"/>
  <c r="ER63" i="12"/>
  <c r="FB63" i="12" s="1"/>
  <c r="ER121" i="13"/>
  <c r="EZ121" i="13" s="1"/>
  <c r="FJ121" i="13" s="1"/>
  <c r="ER123" i="13"/>
  <c r="EZ123" i="13" s="1"/>
  <c r="FJ123" i="13" s="1"/>
  <c r="ER124" i="13"/>
  <c r="EZ124" i="13" s="1"/>
  <c r="FJ124" i="13" s="1"/>
  <c r="ER122" i="13"/>
  <c r="EZ122" i="13" s="1"/>
  <c r="FJ122" i="13" s="1"/>
  <c r="DZ146" i="13"/>
  <c r="EE146" i="13" s="1"/>
  <c r="DY150" i="13"/>
  <c r="ED150" i="13" s="1"/>
  <c r="DY84" i="14"/>
  <c r="ED84" i="14" s="1"/>
  <c r="DZ93" i="12"/>
  <c r="EE93" i="12" s="1"/>
  <c r="EQ62" i="12"/>
  <c r="EQ63" i="12"/>
  <c r="FA63" i="12" s="1"/>
  <c r="DY94" i="12"/>
  <c r="ED90" i="12" s="1"/>
  <c r="EQ92" i="12" s="1"/>
  <c r="FA92" i="12" s="1"/>
  <c r="EQ118" i="13"/>
  <c r="EY118" i="13" s="1"/>
  <c r="FI118" i="13" s="1"/>
  <c r="EQ117" i="13"/>
  <c r="EY117" i="13" s="1"/>
  <c r="FI117" i="13" s="1"/>
  <c r="EQ116" i="13"/>
  <c r="EY116" i="13" s="1"/>
  <c r="FI116" i="13" s="1"/>
  <c r="EQ119" i="13"/>
  <c r="EY119" i="13" s="1"/>
  <c r="FI119" i="13" s="1"/>
  <c r="DY24" i="15"/>
  <c r="ED24" i="15" s="1"/>
  <c r="EQ17" i="15" s="1"/>
  <c r="ED17" i="15"/>
  <c r="EQ79" i="12"/>
  <c r="FA79" i="12" s="1"/>
  <c r="EQ78" i="12"/>
  <c r="FA78" i="12" s="1"/>
  <c r="ER171" i="13"/>
  <c r="EZ171" i="13" s="1"/>
  <c r="ER169" i="13"/>
  <c r="EZ169" i="13" s="1"/>
  <c r="ER131" i="13"/>
  <c r="EZ131" i="13" s="1"/>
  <c r="FJ131" i="13" s="1"/>
  <c r="ER130" i="13"/>
  <c r="EZ130" i="13" s="1"/>
  <c r="FJ130" i="13" s="1"/>
  <c r="ED36" i="14"/>
  <c r="DY43" i="14"/>
  <c r="ED43" i="14" s="1"/>
  <c r="EQ36" i="14" s="1"/>
  <c r="DY80" i="14"/>
  <c r="ED80" i="14" s="1"/>
  <c r="ER98" i="12"/>
  <c r="FB98" i="12" s="1"/>
  <c r="ER97" i="12"/>
  <c r="FB97" i="12" s="1"/>
  <c r="ER99" i="12"/>
  <c r="FB99" i="12" s="1"/>
  <c r="DZ79" i="14"/>
  <c r="ER157" i="13"/>
  <c r="EZ157" i="13" s="1"/>
  <c r="FJ157" i="13" s="1"/>
  <c r="EE17" i="15"/>
  <c r="DZ24" i="15"/>
  <c r="EE24" i="15" s="1"/>
  <c r="ER17" i="15" s="1"/>
  <c r="DZ100" i="12"/>
  <c r="EE99" i="12" s="1"/>
  <c r="DZ85" i="14"/>
  <c r="EE85" i="14" s="1"/>
  <c r="EQ68" i="12"/>
  <c r="FA68" i="12" s="1"/>
  <c r="EQ70" i="12"/>
  <c r="FA70" i="12" s="1"/>
  <c r="EQ69" i="12"/>
  <c r="FA69" i="12" s="1"/>
  <c r="ER137" i="13"/>
  <c r="ER136" i="13"/>
  <c r="EZ136" i="13" s="1"/>
  <c r="FJ136" i="13" s="1"/>
  <c r="DZ150" i="13"/>
  <c r="EE150" i="13" s="1"/>
  <c r="ER163" i="13" s="1"/>
  <c r="EZ163" i="13" s="1"/>
  <c r="DZ89" i="12"/>
  <c r="EQ149" i="13"/>
  <c r="EY149" i="13" s="1"/>
  <c r="FI149" i="13" s="1"/>
  <c r="DZ83" i="14"/>
  <c r="EE83" i="14" s="1"/>
  <c r="DZ98" i="12"/>
  <c r="EE97" i="12" s="1"/>
  <c r="ER103" i="12" s="1"/>
  <c r="FB103" i="12" s="1"/>
  <c r="DY157" i="13"/>
  <c r="ED157" i="13" s="1"/>
  <c r="DY147" i="13"/>
  <c r="ED147" i="13" s="1"/>
  <c r="DY96" i="12"/>
  <c r="ED95" i="12" s="1"/>
  <c r="DY95" i="12"/>
  <c r="ED94" i="12" s="1"/>
  <c r="ER174" i="13"/>
  <c r="EZ174" i="13" s="1"/>
  <c r="EE116" i="13"/>
  <c r="EQ134" i="13"/>
  <c r="EY134" i="13" s="1"/>
  <c r="FI134" i="13" s="1"/>
  <c r="EQ133" i="13"/>
  <c r="EY133" i="13" s="1"/>
  <c r="FI133" i="13" s="1"/>
  <c r="DY81" i="14"/>
  <c r="ED81" i="14" s="1"/>
  <c r="DZ158" i="13"/>
  <c r="EE158" i="13" s="1"/>
  <c r="EQ164" i="13"/>
  <c r="EY164" i="13" s="1"/>
  <c r="EQ165" i="13"/>
  <c r="EY165" i="13" s="1"/>
  <c r="EQ167" i="13"/>
  <c r="EY167" i="13" s="1"/>
  <c r="EQ166" i="13"/>
  <c r="EY166" i="13" s="1"/>
  <c r="ER177" i="13"/>
  <c r="EZ177" i="13" s="1"/>
  <c r="ER176" i="13"/>
  <c r="EZ176" i="13" s="1"/>
  <c r="DZ97" i="12"/>
  <c r="EE96" i="12" s="1"/>
  <c r="ER116" i="13"/>
  <c r="EZ116" i="13" s="1"/>
  <c r="FJ116" i="13" s="1"/>
  <c r="ER117" i="13"/>
  <c r="EZ117" i="13" s="1"/>
  <c r="FJ117" i="13" s="1"/>
  <c r="ER119" i="13"/>
  <c r="EZ119" i="13" s="1"/>
  <c r="FJ119" i="13" s="1"/>
  <c r="ER118" i="13"/>
  <c r="EZ118" i="13" s="1"/>
  <c r="FJ118" i="13" s="1"/>
  <c r="DY156" i="13"/>
  <c r="ED156" i="13" s="1"/>
  <c r="EQ178" i="13" s="1"/>
  <c r="EY178" i="13" s="1"/>
  <c r="ER110" i="13"/>
  <c r="EZ110" i="13" s="1"/>
  <c r="FJ110" i="13" s="1"/>
  <c r="ER113" i="13"/>
  <c r="EZ113" i="13" s="1"/>
  <c r="FJ113" i="13" s="1"/>
  <c r="ER112" i="13"/>
  <c r="EZ112" i="13" s="1"/>
  <c r="FJ112" i="13" s="1"/>
  <c r="ER114" i="13"/>
  <c r="EZ114" i="13" s="1"/>
  <c r="FJ114" i="13" s="1"/>
  <c r="ER111" i="13"/>
  <c r="EZ111" i="13" s="1"/>
  <c r="FJ111" i="13" s="1"/>
  <c r="ER115" i="13"/>
  <c r="EZ115" i="13" s="1"/>
  <c r="FJ115" i="13" s="1"/>
  <c r="ER158" i="13"/>
  <c r="EZ158" i="13" s="1"/>
  <c r="DY98" i="12"/>
  <c r="ED97" i="12" s="1"/>
  <c r="EQ103" i="12" s="1"/>
  <c r="FA103" i="12" s="1"/>
  <c r="EE36" i="14"/>
  <c r="DZ43" i="14"/>
  <c r="EE43" i="14" s="1"/>
  <c r="ER36" i="14" s="1"/>
  <c r="DY88" i="12"/>
  <c r="DY93" i="12"/>
  <c r="ED93" i="12" s="1"/>
  <c r="DZ148" i="13"/>
  <c r="EE148" i="13" s="1"/>
  <c r="DZ154" i="13"/>
  <c r="EE154" i="13" s="1"/>
  <c r="ER175" i="13" s="1"/>
  <c r="EZ175" i="13" s="1"/>
  <c r="DY152" i="13"/>
  <c r="ED152" i="13" s="1"/>
  <c r="DY60" i="15"/>
  <c r="ED65" i="12"/>
  <c r="EQ67" i="12" s="1"/>
  <c r="FA67" i="12" s="1"/>
  <c r="ER45" i="8"/>
  <c r="ES132" i="8"/>
  <c r="ES138" i="8"/>
  <c r="ES137" i="8"/>
  <c r="ES136" i="8"/>
  <c r="ES135" i="8"/>
  <c r="ES134" i="8"/>
  <c r="ES133" i="8"/>
  <c r="ES49" i="8"/>
  <c r="ES48" i="8"/>
  <c r="ER96" i="8"/>
  <c r="ES116" i="8"/>
  <c r="ES108" i="8"/>
  <c r="ES100" i="8"/>
  <c r="ES109" i="8"/>
  <c r="ES115" i="8"/>
  <c r="ES107" i="8"/>
  <c r="ES99" i="8"/>
  <c r="ES114" i="8"/>
  <c r="ES106" i="8"/>
  <c r="ES101" i="8"/>
  <c r="ES113" i="8"/>
  <c r="ES105" i="8"/>
  <c r="ES117" i="8"/>
  <c r="ES112" i="8"/>
  <c r="ES104" i="8"/>
  <c r="ES111" i="8"/>
  <c r="ES103" i="8"/>
  <c r="ES110" i="8"/>
  <c r="ES102" i="8"/>
  <c r="ER49" i="8"/>
  <c r="ER48" i="8"/>
  <c r="ER80" i="8"/>
  <c r="ER79" i="8"/>
  <c r="ER78" i="8"/>
  <c r="ES46" i="8"/>
  <c r="ES47" i="8"/>
  <c r="ER75" i="8"/>
  <c r="ER74" i="8"/>
  <c r="ER73" i="8"/>
  <c r="ER72" i="8"/>
  <c r="ER77" i="8"/>
  <c r="ER76" i="8"/>
  <c r="ER98" i="8"/>
  <c r="ER97" i="8"/>
  <c r="ER131" i="8"/>
  <c r="ER130" i="8"/>
  <c r="ER120" i="8"/>
  <c r="ER119" i="8"/>
  <c r="ER118" i="8"/>
  <c r="ES78" i="8"/>
  <c r="ES79" i="8"/>
  <c r="ES80" i="8"/>
  <c r="ER71" i="8"/>
  <c r="ER70" i="8"/>
  <c r="ER69" i="8"/>
  <c r="ES124" i="8"/>
  <c r="ES123" i="8"/>
  <c r="ES122" i="8"/>
  <c r="ES121" i="8"/>
  <c r="ES125" i="8"/>
  <c r="ES126" i="8"/>
  <c r="ER129" i="8"/>
  <c r="ER128" i="8"/>
  <c r="ER127" i="8"/>
  <c r="ER138" i="8"/>
  <c r="ER132" i="8"/>
  <c r="ER137" i="8"/>
  <c r="ER136" i="8"/>
  <c r="ER135" i="8"/>
  <c r="ER134" i="8"/>
  <c r="ER133" i="8"/>
  <c r="ES70" i="8"/>
  <c r="ES69" i="8"/>
  <c r="ES71" i="8"/>
  <c r="ES86" i="8"/>
  <c r="ES85" i="8"/>
  <c r="ES84" i="8"/>
  <c r="ES83" i="8"/>
  <c r="ES89" i="8"/>
  <c r="ES88" i="8"/>
  <c r="ES87" i="8"/>
  <c r="ES82" i="8"/>
  <c r="ES81" i="8"/>
  <c r="ER83" i="8"/>
  <c r="ER89" i="8"/>
  <c r="ER84" i="8"/>
  <c r="ER88" i="8"/>
  <c r="ER87" i="8"/>
  <c r="ER86" i="8"/>
  <c r="ER85" i="8"/>
  <c r="ES131" i="8"/>
  <c r="ES130" i="8"/>
  <c r="ES96" i="8"/>
  <c r="ES77" i="8"/>
  <c r="ES76" i="8"/>
  <c r="ES75" i="8"/>
  <c r="ES74" i="8"/>
  <c r="ES73" i="8"/>
  <c r="ES72" i="8"/>
  <c r="ER67" i="8"/>
  <c r="ER59" i="8"/>
  <c r="ER51" i="8"/>
  <c r="ER66" i="8"/>
  <c r="ER58" i="8"/>
  <c r="ER50" i="8"/>
  <c r="ER65" i="8"/>
  <c r="ER57" i="8"/>
  <c r="ER64" i="8"/>
  <c r="ER56" i="8"/>
  <c r="ER60" i="8"/>
  <c r="ER63" i="8"/>
  <c r="ER55" i="8"/>
  <c r="ER68" i="8"/>
  <c r="ER62" i="8"/>
  <c r="ER54" i="8"/>
  <c r="ER52" i="8"/>
  <c r="ER61" i="8"/>
  <c r="ER53" i="8"/>
  <c r="ER115" i="8"/>
  <c r="ER107" i="8"/>
  <c r="ER99" i="8"/>
  <c r="ER114" i="8"/>
  <c r="ER106" i="8"/>
  <c r="ER113" i="8"/>
  <c r="ER105" i="8"/>
  <c r="ER100" i="8"/>
  <c r="ER112" i="8"/>
  <c r="ER104" i="8"/>
  <c r="ER108" i="8"/>
  <c r="ER111" i="8"/>
  <c r="ER103" i="8"/>
  <c r="ER110" i="8"/>
  <c r="ER102" i="8"/>
  <c r="ER116" i="8"/>
  <c r="ER117" i="8"/>
  <c r="ER109" i="8"/>
  <c r="ER101" i="8"/>
  <c r="ER82" i="8"/>
  <c r="ER81" i="8"/>
  <c r="ES129" i="8"/>
  <c r="ES128" i="8"/>
  <c r="ES127" i="8"/>
  <c r="ES62" i="8"/>
  <c r="ES54" i="8"/>
  <c r="ES61" i="8"/>
  <c r="ES53" i="8"/>
  <c r="ES68" i="8"/>
  <c r="ES60" i="8"/>
  <c r="ES52" i="8"/>
  <c r="ES67" i="8"/>
  <c r="ES59" i="8"/>
  <c r="ES51" i="8"/>
  <c r="ES66" i="8"/>
  <c r="ES58" i="8"/>
  <c r="ES63" i="8"/>
  <c r="ES65" i="8"/>
  <c r="ES57" i="8"/>
  <c r="ES55" i="8"/>
  <c r="ES64" i="8"/>
  <c r="ES56" i="8"/>
  <c r="ER47" i="8"/>
  <c r="ER46" i="8"/>
  <c r="ES120" i="8"/>
  <c r="ES119" i="8"/>
  <c r="ES118" i="8"/>
  <c r="ER123" i="8"/>
  <c r="ER122" i="8"/>
  <c r="ER121" i="8"/>
  <c r="ER124" i="8"/>
  <c r="ER126" i="8"/>
  <c r="ER125" i="8"/>
  <c r="ES98" i="8"/>
  <c r="ES97" i="8"/>
  <c r="DZ105" i="8"/>
  <c r="DY105" i="8"/>
  <c r="DY55" i="8"/>
  <c r="DZ55" i="8"/>
  <c r="EQ147" i="13" l="1"/>
  <c r="EY147" i="13" s="1"/>
  <c r="FI147" i="13" s="1"/>
  <c r="EQ146" i="13"/>
  <c r="EY146" i="13" s="1"/>
  <c r="FI146" i="13" s="1"/>
  <c r="EQ152" i="13"/>
  <c r="EY152" i="13" s="1"/>
  <c r="FI152" i="13" s="1"/>
  <c r="EQ150" i="13"/>
  <c r="EY150" i="13" s="1"/>
  <c r="FI150" i="13" s="1"/>
  <c r="EQ148" i="13"/>
  <c r="EY148" i="13" s="1"/>
  <c r="FI148" i="13" s="1"/>
  <c r="ER168" i="13"/>
  <c r="EZ168" i="13" s="1"/>
  <c r="ER170" i="13"/>
  <c r="EZ170" i="13" s="1"/>
  <c r="EQ174" i="13"/>
  <c r="EY174" i="13" s="1"/>
  <c r="FI174" i="13" s="1"/>
  <c r="ER105" i="12"/>
  <c r="FB105" i="12" s="1"/>
  <c r="EQ89" i="12"/>
  <c r="FA89" i="12" s="1"/>
  <c r="ED88" i="12"/>
  <c r="ER96" i="12"/>
  <c r="FB96" i="12" s="1"/>
  <c r="EE91" i="12"/>
  <c r="ER93" i="12" s="1"/>
  <c r="FB93" i="12" s="1"/>
  <c r="ED89" i="12"/>
  <c r="EQ91" i="12" s="1"/>
  <c r="FA91" i="12" s="1"/>
  <c r="ER94" i="12"/>
  <c r="FB94" i="12" s="1"/>
  <c r="EE89" i="12"/>
  <c r="ER91" i="12" s="1"/>
  <c r="FB91" i="12" s="1"/>
  <c r="EQ163" i="13"/>
  <c r="EY163" i="13" s="1"/>
  <c r="ED44" i="14"/>
  <c r="EQ101" i="12"/>
  <c r="FA101" i="12" s="1"/>
  <c r="EQ102" i="12"/>
  <c r="FA102" i="12" s="1"/>
  <c r="ER155" i="13"/>
  <c r="EZ155" i="13" s="1"/>
  <c r="FJ155" i="13" s="1"/>
  <c r="ER156" i="13"/>
  <c r="EZ156" i="13" s="1"/>
  <c r="FJ156" i="13" s="1"/>
  <c r="ER154" i="13"/>
  <c r="EZ154" i="13" s="1"/>
  <c r="FJ154" i="13" s="1"/>
  <c r="ED25" i="15"/>
  <c r="ED159" i="13"/>
  <c r="ED91" i="12"/>
  <c r="EQ93" i="12" s="1"/>
  <c r="FA93" i="12" s="1"/>
  <c r="EQ138" i="13"/>
  <c r="EE159" i="13"/>
  <c r="ED74" i="12"/>
  <c r="EF62" i="12"/>
  <c r="EQ180" i="13"/>
  <c r="EQ179" i="13"/>
  <c r="EY179" i="13" s="1"/>
  <c r="EQ162" i="13"/>
  <c r="EY162" i="13" s="1"/>
  <c r="FI162" i="13" s="1"/>
  <c r="EQ161" i="13"/>
  <c r="EY161" i="13" s="1"/>
  <c r="EQ160" i="13"/>
  <c r="EY160" i="13" s="1"/>
  <c r="ED79" i="14"/>
  <c r="DY86" i="14"/>
  <c r="ED86" i="14" s="1"/>
  <c r="EQ79" i="14" s="1"/>
  <c r="ER160" i="13"/>
  <c r="EZ160" i="13" s="1"/>
  <c r="ER161" i="13"/>
  <c r="EZ161" i="13" s="1"/>
  <c r="ER162" i="13"/>
  <c r="EZ162" i="13" s="1"/>
  <c r="FJ162" i="13" s="1"/>
  <c r="ER148" i="13"/>
  <c r="EZ148" i="13" s="1"/>
  <c r="FJ148" i="13" s="1"/>
  <c r="ER150" i="13"/>
  <c r="EZ150" i="13" s="1"/>
  <c r="FJ150" i="13" s="1"/>
  <c r="ER152" i="13"/>
  <c r="EZ152" i="13" s="1"/>
  <c r="FJ152" i="13" s="1"/>
  <c r="ER151" i="13"/>
  <c r="EZ151" i="13" s="1"/>
  <c r="FJ151" i="13" s="1"/>
  <c r="ER147" i="13"/>
  <c r="EZ147" i="13" s="1"/>
  <c r="FJ147" i="13" s="1"/>
  <c r="ER146" i="13"/>
  <c r="EZ146" i="13" s="1"/>
  <c r="FJ146" i="13" s="1"/>
  <c r="ER149" i="13"/>
  <c r="EZ149" i="13" s="1"/>
  <c r="FJ149" i="13" s="1"/>
  <c r="ER180" i="13"/>
  <c r="ER179" i="13"/>
  <c r="EZ179" i="13" s="1"/>
  <c r="FJ179" i="13" s="1"/>
  <c r="EQ107" i="12"/>
  <c r="FA107" i="12" s="1"/>
  <c r="EQ106" i="12"/>
  <c r="FA106" i="12" s="1"/>
  <c r="FA88" i="12"/>
  <c r="C2" i="49"/>
  <c r="EZ36" i="14"/>
  <c r="ER88" i="12"/>
  <c r="ER89" i="12"/>
  <c r="FB89" i="12" s="1"/>
  <c r="ER165" i="13"/>
  <c r="EZ165" i="13" s="1"/>
  <c r="ER166" i="13"/>
  <c r="EZ166" i="13" s="1"/>
  <c r="ER167" i="13"/>
  <c r="EZ167" i="13" s="1"/>
  <c r="ER164" i="13"/>
  <c r="EZ164" i="13" s="1"/>
  <c r="EQ90" i="12"/>
  <c r="FA90" i="12" s="1"/>
  <c r="ER102" i="12"/>
  <c r="FB102" i="12" s="1"/>
  <c r="ER101" i="12"/>
  <c r="FB101" i="12" s="1"/>
  <c r="ER100" i="12"/>
  <c r="FB100" i="12" s="1"/>
  <c r="EE79" i="14"/>
  <c r="DZ86" i="14"/>
  <c r="EE86" i="14" s="1"/>
  <c r="ER79" i="14" s="1"/>
  <c r="FA36" i="14"/>
  <c r="C2" i="51"/>
  <c r="C2" i="57"/>
  <c r="FB17" i="15"/>
  <c r="EE60" i="15"/>
  <c r="DZ67" i="15"/>
  <c r="EE67" i="15" s="1"/>
  <c r="ER60" i="15" s="1"/>
  <c r="ED60" i="15"/>
  <c r="DY67" i="15"/>
  <c r="ED67" i="15" s="1"/>
  <c r="EQ60" i="15" s="1"/>
  <c r="EE44" i="14"/>
  <c r="EQ96" i="12"/>
  <c r="FA96" i="12" s="1"/>
  <c r="EQ95" i="12"/>
  <c r="FA95" i="12" s="1"/>
  <c r="EQ94" i="12"/>
  <c r="FA94" i="12" s="1"/>
  <c r="EE25" i="15"/>
  <c r="FA62" i="12"/>
  <c r="EQ82" i="12"/>
  <c r="C2" i="29" s="1"/>
  <c r="EQ177" i="13"/>
  <c r="EY177" i="13" s="1"/>
  <c r="FI177" i="13" s="1"/>
  <c r="EQ176" i="13"/>
  <c r="EY176" i="13" s="1"/>
  <c r="FI176" i="13" s="1"/>
  <c r="EQ104" i="12"/>
  <c r="FA104" i="12" s="1"/>
  <c r="EQ105" i="12"/>
  <c r="FA105" i="12" s="1"/>
  <c r="EQ168" i="13"/>
  <c r="EY168" i="13" s="1"/>
  <c r="FI168" i="13" s="1"/>
  <c r="EQ169" i="13"/>
  <c r="EY169" i="13" s="1"/>
  <c r="FI169" i="13" s="1"/>
  <c r="EQ172" i="13"/>
  <c r="EY172" i="13" s="1"/>
  <c r="EQ171" i="13"/>
  <c r="EY171" i="13" s="1"/>
  <c r="FI171" i="13" s="1"/>
  <c r="EQ170" i="13"/>
  <c r="EY170" i="13" s="1"/>
  <c r="FI170" i="13" s="1"/>
  <c r="EQ99" i="12"/>
  <c r="FA99" i="12" s="1"/>
  <c r="EQ98" i="12"/>
  <c r="FA98" i="12" s="1"/>
  <c r="EQ97" i="12"/>
  <c r="FA97" i="12" s="1"/>
  <c r="FA17" i="15"/>
  <c r="C2" i="55"/>
  <c r="ER107" i="12"/>
  <c r="FB107" i="12" s="1"/>
  <c r="ER106" i="12"/>
  <c r="FB106" i="12" s="1"/>
  <c r="EE88" i="12"/>
  <c r="EF88" i="12" s="1"/>
  <c r="EQ156" i="13"/>
  <c r="EY156" i="13" s="1"/>
  <c r="FI156" i="13" s="1"/>
  <c r="EQ153" i="13"/>
  <c r="EY153" i="13" s="1"/>
  <c r="FI153" i="13" s="1"/>
  <c r="EQ155" i="13"/>
  <c r="EY155" i="13" s="1"/>
  <c r="FI155" i="13" s="1"/>
  <c r="EQ154" i="13"/>
  <c r="EY154" i="13" s="1"/>
  <c r="FI154" i="13" s="1"/>
  <c r="EQ157" i="13"/>
  <c r="EY157" i="13" s="1"/>
  <c r="FI157" i="13" s="1"/>
  <c r="FB62" i="12"/>
  <c r="ER82" i="12"/>
  <c r="C2" i="31" s="1"/>
  <c r="EZ103" i="13"/>
  <c r="ER138" i="13"/>
  <c r="FI103" i="13"/>
  <c r="FI137" i="13" s="1"/>
  <c r="EY138" i="13"/>
  <c r="EI90" i="8"/>
  <c r="ES50" i="8"/>
  <c r="EH139" i="8"/>
  <c r="ER95" i="8"/>
  <c r="EH90" i="8"/>
  <c r="EI139" i="8"/>
  <c r="ES95" i="8"/>
  <c r="FI175" i="13"/>
  <c r="FI167" i="13"/>
  <c r="FI164" i="13"/>
  <c r="FI165" i="13"/>
  <c r="FI163" i="13"/>
  <c r="FI166" i="13"/>
  <c r="FJ178" i="13"/>
  <c r="FJ177" i="13"/>
  <c r="ED100" i="12" l="1"/>
  <c r="EQ108" i="12"/>
  <c r="C2" i="30" s="1"/>
  <c r="FA79" i="14"/>
  <c r="C2" i="52"/>
  <c r="EZ79" i="14"/>
  <c r="C2" i="50"/>
  <c r="FB60" i="15"/>
  <c r="C2" i="58"/>
  <c r="EE87" i="14"/>
  <c r="ED87" i="14"/>
  <c r="ER90" i="12"/>
  <c r="FB90" i="12" s="1"/>
  <c r="EE100" i="12"/>
  <c r="FA60" i="15"/>
  <c r="C2" i="56"/>
  <c r="FJ103" i="13"/>
  <c r="FJ137" i="13" s="1"/>
  <c r="EZ138" i="13"/>
  <c r="EZ137" i="13" s="1"/>
  <c r="FB88" i="12"/>
  <c r="B2" i="17"/>
  <c r="B2" i="24"/>
  <c r="B2" i="19"/>
  <c r="B2" i="26"/>
  <c r="B2" i="23"/>
  <c r="B2" i="16"/>
  <c r="B2" i="25"/>
  <c r="B2" i="18"/>
  <c r="FJ175" i="13"/>
  <c r="FJ176" i="13"/>
  <c r="FJ163" i="13"/>
  <c r="FJ166" i="13"/>
  <c r="FJ164" i="13"/>
  <c r="FJ165" i="13"/>
  <c r="EQ159" i="13"/>
  <c r="FI160" i="13"/>
  <c r="FI161" i="13"/>
  <c r="FJ160" i="13"/>
  <c r="FJ161" i="13"/>
  <c r="ER159" i="13"/>
  <c r="FJ172" i="13"/>
  <c r="FJ173" i="13"/>
  <c r="FJ174" i="13"/>
  <c r="FJ167" i="13"/>
  <c r="FJ168" i="13"/>
  <c r="FJ171" i="13"/>
  <c r="FJ169" i="13"/>
  <c r="FJ170" i="13"/>
  <c r="FI179" i="13"/>
  <c r="FI178" i="13"/>
  <c r="FI172" i="13"/>
  <c r="FI173" i="13"/>
  <c r="ER108" i="12" l="1"/>
  <c r="C2" i="32" s="1"/>
  <c r="C2" i="37"/>
  <c r="C2" i="18"/>
  <c r="FJ158" i="13"/>
  <c r="EZ159" i="13"/>
  <c r="FI158" i="13"/>
  <c r="EY159" i="13"/>
  <c r="ER181" i="13"/>
  <c r="EQ181" i="13"/>
  <c r="FI159" i="13" l="1"/>
  <c r="EY181" i="13"/>
  <c r="EY180" i="13" s="1"/>
  <c r="C2" i="17" s="1"/>
  <c r="FJ159" i="13"/>
  <c r="FJ180" i="13" s="1"/>
  <c r="EZ181" i="13"/>
  <c r="EZ180" i="13" s="1"/>
  <c r="C2" i="19" s="1"/>
  <c r="FI180" i="13"/>
  <c r="C2" i="38" l="1"/>
  <c r="C2" i="36"/>
  <c r="ER139" i="8"/>
  <c r="ES139" i="8"/>
  <c r="ES90" i="8"/>
  <c r="ER90" i="8"/>
  <c r="EY137" i="13" l="1"/>
  <c r="C2" i="35" l="1"/>
  <c r="C2" i="16"/>
</calcChain>
</file>

<file path=xl/comments1.xml><?xml version="1.0" encoding="utf-8"?>
<comments xmlns="http://schemas.openxmlformats.org/spreadsheetml/2006/main">
  <authors>
    <author>Author</author>
  </authors>
  <commentList>
    <comment ref="C6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Author:
</t>
        </r>
        <r>
          <rPr>
            <sz val="9"/>
            <color indexed="81"/>
            <rFont val="돋움"/>
            <family val="3"/>
            <charset val="129"/>
          </rPr>
          <t>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장항공공주택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상주인구의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나와있으므로</t>
        </r>
        <r>
          <rPr>
            <sz val="9"/>
            <color indexed="81"/>
            <rFont val="Tahoma"/>
            <family val="2"/>
          </rPr>
          <t xml:space="preserve">,
 </t>
        </r>
        <r>
          <rPr>
            <sz val="9"/>
            <color indexed="81"/>
            <rFont val="돋움"/>
            <family val="3"/>
            <charset val="129"/>
          </rPr>
          <t>유출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유입인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통행량이므로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나누어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</t>
        </r>
      </text>
    </comment>
  </commentList>
</comments>
</file>

<file path=xl/comments2.xml><?xml version="1.0" encoding="utf-8"?>
<comments xmlns="http://schemas.openxmlformats.org/spreadsheetml/2006/main">
  <authors>
    <author>Author</author>
  </authors>
  <commentList>
    <comment ref="AB59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b/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돋움"/>
            <family val="3"/>
            <charset val="129"/>
          </rPr>
          <t>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  <r>
          <rPr>
            <b/>
            <sz val="9"/>
            <color indexed="81"/>
            <rFont val="돋움"/>
            <family val="3"/>
            <charset val="129"/>
          </rPr>
          <t>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장항공공주택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EB10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C103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다른사업지구와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도착량에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대한증가율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바로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EL11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  <comment ref="EZ137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장항공공주택지구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반영량
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돋움"/>
            <family val="3"/>
            <charset val="129"/>
          </rPr>
          <t>실제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장래개발코드로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들어감</t>
        </r>
        <r>
          <rPr>
            <sz val="9"/>
            <color indexed="81"/>
            <rFont val="Tahoma"/>
            <family val="2"/>
          </rPr>
          <t>)</t>
        </r>
      </text>
    </comment>
    <comment ref="EB1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L15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한개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</t>
        </r>
        <r>
          <rPr>
            <sz val="9"/>
            <color indexed="81"/>
            <rFont val="Tahoma"/>
            <family val="2"/>
          </rPr>
          <t xml:space="preserve"> 2</t>
        </r>
        <r>
          <rPr>
            <sz val="9"/>
            <color indexed="81"/>
            <rFont val="돋움"/>
            <family val="3"/>
            <charset val="129"/>
          </rPr>
          <t>개시설</t>
        </r>
        <r>
          <rPr>
            <sz val="9"/>
            <color indexed="81"/>
            <rFont val="Tahoma"/>
            <family val="2"/>
          </rPr>
          <t xml:space="preserve">.. </t>
        </r>
        <r>
          <rPr>
            <sz val="9"/>
            <color indexed="81"/>
            <rFont val="돋움"/>
            <family val="3"/>
            <charset val="129"/>
          </rPr>
          <t>면적을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쪼개서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계산</t>
        </r>
      </text>
    </comment>
  </commentList>
</comments>
</file>

<file path=xl/comments3.xml><?xml version="1.0" encoding="utf-8"?>
<comments xmlns="http://schemas.openxmlformats.org/spreadsheetml/2006/main">
  <authors>
    <author>Author</author>
  </authors>
  <commentList>
    <comment ref="Y26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B27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가구통행실태조사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기반이기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상주인구</t>
        </r>
        <r>
          <rPr>
            <sz val="9"/>
            <color indexed="81"/>
            <rFont val="Tahoma"/>
            <family val="2"/>
          </rPr>
          <t xml:space="preserve"> + </t>
        </r>
        <r>
          <rPr>
            <sz val="9"/>
            <color indexed="81"/>
            <rFont val="돋움"/>
            <family val="3"/>
            <charset val="129"/>
          </rPr>
          <t>상근인구만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EB60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돋움"/>
            <family val="3"/>
            <charset val="129"/>
          </rPr>
          <t>상업시설</t>
        </r>
        <r>
          <rPr>
            <sz val="9"/>
            <color indexed="81"/>
            <rFont val="돋움"/>
            <family val="3"/>
            <charset val="129"/>
          </rPr>
          <t>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경우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따로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면적할당된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부지가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주상복합에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포함되어있기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떄문에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주상복합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면적비율로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분할하였음</t>
        </r>
      </text>
    </comment>
    <comment ref="EK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FD6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사용
</t>
        </r>
      </text>
    </comment>
    <comment ref="EM64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상업시설용지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  <r>
          <rPr>
            <sz val="9"/>
            <color indexed="81"/>
            <rFont val="Tahoma"/>
            <family val="2"/>
          </rPr>
          <t xml:space="preserve">. </t>
        </r>
        <r>
          <rPr>
            <sz val="9"/>
            <color indexed="81"/>
            <rFont val="돋움"/>
            <family val="3"/>
            <charset val="129"/>
          </rPr>
          <t>잘못봐서</t>
        </r>
        <r>
          <rPr>
            <sz val="9"/>
            <color indexed="81"/>
            <rFont val="Tahoma"/>
            <family val="2"/>
          </rPr>
          <t xml:space="preserve"> ID </t>
        </r>
        <r>
          <rPr>
            <sz val="9"/>
            <color indexed="81"/>
            <rFont val="돋움"/>
            <family val="3"/>
            <charset val="129"/>
          </rPr>
          <t>체계가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작업시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혼동하지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것</t>
        </r>
      </text>
    </comment>
  </commentList>
</comments>
</file>

<file path=xl/comments4.xml><?xml version="1.0" encoding="utf-8"?>
<comments xmlns="http://schemas.openxmlformats.org/spreadsheetml/2006/main">
  <authors>
    <author>Author</author>
  </authors>
  <commentList>
    <comment ref="N28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
다른사업지구와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다르게</t>
        </r>
        <r>
          <rPr>
            <b/>
            <sz val="9"/>
            <color indexed="81"/>
            <rFont val="Tahoma"/>
            <family val="2"/>
          </rPr>
          <t xml:space="preserve">, 
</t>
        </r>
        <r>
          <rPr>
            <b/>
            <sz val="9"/>
            <color indexed="81"/>
            <rFont val="돋움"/>
            <family val="3"/>
            <charset val="129"/>
          </rPr>
          <t>일산테크노밸리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상주인구의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나와있으므로</t>
        </r>
        <r>
          <rPr>
            <b/>
            <sz val="9"/>
            <color indexed="81"/>
            <rFont val="Tahoma"/>
            <family val="2"/>
          </rPr>
          <t xml:space="preserve">,
 </t>
        </r>
        <r>
          <rPr>
            <b/>
            <sz val="9"/>
            <color indexed="81"/>
            <rFont val="돋움"/>
            <family val="3"/>
            <charset val="129"/>
          </rPr>
          <t>유출</t>
        </r>
        <r>
          <rPr>
            <b/>
            <sz val="9"/>
            <color indexed="81"/>
            <rFont val="Tahoma"/>
            <family val="2"/>
          </rPr>
          <t xml:space="preserve"> + </t>
        </r>
        <r>
          <rPr>
            <b/>
            <sz val="9"/>
            <color indexed="81"/>
            <rFont val="돋움"/>
            <family val="3"/>
            <charset val="129"/>
          </rPr>
          <t>유입인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통행량이므로</t>
        </r>
        <r>
          <rPr>
            <b/>
            <sz val="9"/>
            <color indexed="81"/>
            <rFont val="Tahoma"/>
            <family val="2"/>
          </rPr>
          <t xml:space="preserve"> 2</t>
        </r>
        <r>
          <rPr>
            <b/>
            <sz val="9"/>
            <color indexed="81"/>
            <rFont val="돋움"/>
            <family val="3"/>
            <charset val="129"/>
          </rPr>
          <t>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나누어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EC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M44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최종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통행발생량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통행도착량</t>
        </r>
      </text>
    </comment>
    <comment ref="EV44" authorId="0" shapeId="0">
      <text>
        <r>
          <rPr>
            <b/>
            <sz val="9"/>
            <color indexed="81"/>
            <rFont val="Tahoma"/>
            <family val="2"/>
          </rPr>
          <t xml:space="preserve">Author:
</t>
        </r>
        <r>
          <rPr>
            <b/>
            <sz val="9"/>
            <color indexed="81"/>
            <rFont val="돋움"/>
            <family val="3"/>
            <charset val="129"/>
          </rPr>
          <t>사업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지구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장래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발생량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및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도착량으로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사용</t>
        </r>
      </text>
    </comment>
    <comment ref="B176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여객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다르게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화물</t>
        </r>
        <r>
          <rPr>
            <sz val="9"/>
            <color indexed="81"/>
            <rFont val="Tahoma"/>
            <family val="2"/>
          </rPr>
          <t xml:space="preserve"> OD</t>
        </r>
        <r>
          <rPr>
            <sz val="9"/>
            <color indexed="81"/>
            <rFont val="돋움"/>
            <family val="3"/>
            <charset val="129"/>
          </rPr>
          <t>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교통영향평가에서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추정한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대수를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그대로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사용하였음</t>
        </r>
      </text>
    </comment>
    <comment ref="C282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282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comments5.xml><?xml version="1.0" encoding="utf-8"?>
<comments xmlns="http://schemas.openxmlformats.org/spreadsheetml/2006/main">
  <authors>
    <author>Author</author>
  </authors>
  <commentList>
    <comment ref="B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장래년도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사업지구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통행량에</t>
        </r>
        <r>
          <rPr>
            <sz val="9"/>
            <color indexed="81"/>
            <rFont val="Tahoma"/>
            <family val="2"/>
          </rPr>
          <t xml:space="preserve">
KTDB </t>
        </r>
        <r>
          <rPr>
            <sz val="9"/>
            <color indexed="81"/>
            <rFont val="돋움"/>
            <family val="3"/>
            <charset val="129"/>
          </rPr>
          <t>배포</t>
        </r>
        <r>
          <rPr>
            <sz val="9"/>
            <color indexed="81"/>
            <rFont val="Tahoma"/>
            <family val="2"/>
          </rPr>
          <t xml:space="preserve"> OD </t>
        </r>
        <r>
          <rPr>
            <sz val="9"/>
            <color indexed="81"/>
            <rFont val="돋움"/>
            <family val="3"/>
            <charset val="129"/>
          </rPr>
          <t>기준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고양시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도착량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A5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버스와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승용차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택시의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변화율은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동일</t>
        </r>
      </text>
    </comment>
  </commentList>
</comments>
</file>

<file path=xl/comments6.xml><?xml version="1.0" encoding="utf-8"?>
<comments xmlns="http://schemas.openxmlformats.org/spreadsheetml/2006/main">
  <authors>
    <author>Author</author>
  </authors>
  <commentList>
    <comment ref="K11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사업지구별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적용되어</t>
        </r>
        <r>
          <rPr>
            <sz val="9"/>
            <color indexed="81"/>
            <rFont val="Tahoma"/>
            <family val="2"/>
          </rPr>
          <t xml:space="preserve">, 
</t>
        </r>
        <r>
          <rPr>
            <sz val="9"/>
            <color indexed="81"/>
            <rFont val="돋움"/>
            <family val="3"/>
            <charset val="129"/>
          </rPr>
          <t>이동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지역별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산출</t>
        </r>
      </text>
    </comment>
  </commentList>
</comments>
</file>

<file path=xl/comments7.xml><?xml version="1.0" encoding="utf-8"?>
<comments xmlns="http://schemas.openxmlformats.org/spreadsheetml/2006/main">
  <authors>
    <author>Author</author>
  </authors>
  <commentList>
    <comment ref="A12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증가량은</t>
        </r>
        <r>
          <rPr>
            <sz val="9"/>
            <color indexed="81"/>
            <rFont val="Tahoma"/>
            <family val="2"/>
          </rPr>
          <t xml:space="preserve"> 
(</t>
        </r>
        <r>
          <rPr>
            <sz val="9"/>
            <color indexed="81"/>
            <rFont val="돋움"/>
            <family val="3"/>
            <charset val="129"/>
          </rPr>
          <t>장항공공주택지구로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</t>
        </r>
        <r>
          <rPr>
            <sz val="9"/>
            <color indexed="81"/>
            <rFont val="Tahoma"/>
            <family val="2"/>
          </rPr>
          <t xml:space="preserve">)
</t>
        </r>
        <r>
          <rPr>
            <sz val="9"/>
            <color indexed="81"/>
            <rFont val="돋움"/>
            <family val="3"/>
            <charset val="129"/>
          </rPr>
          <t>이라고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가정
</t>
        </r>
        <r>
          <rPr>
            <sz val="9"/>
            <color indexed="81"/>
            <rFont val="Tahoma"/>
            <family val="2"/>
          </rPr>
          <t>25</t>
        </r>
        <r>
          <rPr>
            <sz val="9"/>
            <color indexed="81"/>
            <rFont val="돋움"/>
            <family val="3"/>
            <charset val="129"/>
          </rPr>
          <t>년까지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입주가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완료되었기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때문에</t>
        </r>
        <r>
          <rPr>
            <sz val="9"/>
            <color indexed="81"/>
            <rFont val="Tahoma"/>
            <family val="2"/>
          </rPr>
          <t>, 
30</t>
        </r>
        <r>
          <rPr>
            <sz val="9"/>
            <color indexed="81"/>
            <rFont val="돋움"/>
            <family val="3"/>
            <charset val="129"/>
          </rPr>
          <t>년부터</t>
        </r>
        <r>
          <rPr>
            <sz val="9"/>
            <color indexed="81"/>
            <rFont val="Tahoma"/>
            <family val="2"/>
          </rPr>
          <t xml:space="preserve"> 50</t>
        </r>
        <r>
          <rPr>
            <sz val="9"/>
            <color indexed="81"/>
            <rFont val="돋움"/>
            <family val="3"/>
            <charset val="129"/>
          </rPr>
          <t>년까지는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장항공공주택지구의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통행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증가량을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반영하여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적용
</t>
        </r>
        <r>
          <rPr>
            <sz val="9"/>
            <color indexed="81"/>
            <rFont val="Tahoma"/>
            <family val="2"/>
          </rPr>
          <t xml:space="preserve">&amp;&amp;&amp;
</t>
        </r>
        <r>
          <rPr>
            <sz val="9"/>
            <color indexed="81"/>
            <rFont val="돋움"/>
            <family val="3"/>
            <charset val="129"/>
          </rPr>
          <t>일산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동구에는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장항</t>
        </r>
        <r>
          <rPr>
            <sz val="9"/>
            <color indexed="81"/>
            <rFont val="Tahoma"/>
            <family val="2"/>
          </rPr>
          <t xml:space="preserve"> 1</t>
        </r>
        <r>
          <rPr>
            <sz val="9"/>
            <color indexed="81"/>
            <rFont val="돋움"/>
            <family val="3"/>
            <charset val="129"/>
          </rPr>
          <t>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외에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개발계획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계획이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없음</t>
        </r>
      </text>
    </comment>
  </commentList>
</comments>
</file>

<file path=xl/comments8.xml><?xml version="1.0" encoding="utf-8"?>
<comments xmlns="http://schemas.openxmlformats.org/spreadsheetml/2006/main">
  <authors>
    <author>Author</author>
  </authors>
  <commentList>
    <comment ref="K29" authorId="0" shapeId="0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주거시설을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시설들은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상근인구</t>
        </r>
        <r>
          <rPr>
            <sz val="9"/>
            <color indexed="81"/>
            <rFont val="돋움"/>
            <family val="3"/>
            <charset val="129"/>
          </rPr>
          <t>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면적별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이용인구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준용하였음
</t>
        </r>
        <r>
          <rPr>
            <sz val="9"/>
            <color indexed="81"/>
            <rFont val="Tahoma"/>
            <family val="2"/>
          </rPr>
          <t>pp-67</t>
        </r>
      </text>
    </comment>
    <comment ref="C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M60" authorId="0" shapeId="0">
      <text>
        <r>
          <rPr>
            <b/>
            <sz val="9"/>
            <color indexed="81"/>
            <rFont val="돋움"/>
            <family val="3"/>
            <charset val="129"/>
          </rPr>
          <t>Author:</t>
        </r>
        <r>
          <rPr>
            <sz val="9"/>
            <color indexed="81"/>
            <rFont val="돋움"/>
            <family val="3"/>
            <charset val="129"/>
          </rPr>
          <t xml:space="preserve">
기타시설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기준
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수단분담률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</commentList>
</comments>
</file>

<file path=xl/sharedStrings.xml><?xml version="1.0" encoding="utf-8"?>
<sst xmlns="http://schemas.openxmlformats.org/spreadsheetml/2006/main" count="6926" uniqueCount="909">
  <si>
    <t>pp-68</t>
    <phoneticPr fontId="2" type="noConversion"/>
  </si>
  <si>
    <t>구분</t>
  </si>
  <si>
    <r>
      <t>세대수</t>
    </r>
    <r>
      <rPr>
        <b/>
        <sz val="10"/>
        <color rgb="FF000000"/>
        <rFont val="맑은 고딕"/>
        <family val="3"/>
        <charset val="129"/>
        <scheme val="minor"/>
      </rPr>
      <t>,</t>
    </r>
  </si>
  <si>
    <t>부지면적</t>
  </si>
  <si>
    <r>
      <t>(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</si>
  <si>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원단위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</si>
  <si>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세대</t>
    </r>
    <r>
      <rPr>
        <b/>
        <sz val="10"/>
        <color rgb="FF000000"/>
        <rFont val="맑은 고딕"/>
        <family val="3"/>
        <charset val="129"/>
        <scheme val="minor"/>
      </rPr>
      <t xml:space="preserve">, 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/1,000</t>
    </r>
    <r>
      <rPr>
        <b/>
        <sz val="10"/>
        <color rgb="FF000000"/>
        <rFont val="휴먼고딕"/>
        <charset val="129"/>
      </rPr>
      <t>㎡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</si>
  <si>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활동인구</t>
  </si>
  <si>
    <r>
      <t>(</t>
    </r>
    <r>
      <rPr>
        <b/>
        <sz val="10"/>
        <color rgb="FF000000"/>
        <rFont val="휴먼고딕"/>
        <charset val="129"/>
      </rPr>
      <t>인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일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</si>
  <si>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상근인구</t>
  </si>
  <si>
    <t>이용인구</t>
  </si>
  <si>
    <t>합계</t>
  </si>
  <si>
    <t>단독주택</t>
  </si>
  <si>
    <t>근린생활시설</t>
  </si>
  <si>
    <t>판매시설</t>
  </si>
  <si>
    <t>지식기반시설</t>
  </si>
  <si>
    <t>연구시설</t>
  </si>
  <si>
    <t>첨단제조시설</t>
  </si>
  <si>
    <t>복합</t>
  </si>
  <si>
    <t>용지</t>
  </si>
  <si>
    <t>시설</t>
  </si>
  <si>
    <t>계</t>
  </si>
  <si>
    <t>-</t>
  </si>
  <si>
    <t>업무시설</t>
  </si>
  <si>
    <t>지원시설</t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</si>
  <si>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</si>
  <si>
    <t>총 계</t>
  </si>
  <si>
    <t>구분</t>
    <phoneticPr fontId="2" type="noConversion"/>
  </si>
  <si>
    <t>■ 기준년도 용도별 활동인구 예측(2020년 기준)</t>
    <phoneticPr fontId="2" type="noConversion"/>
  </si>
  <si>
    <t>활 동 인 구</t>
  </si>
  <si>
    <r>
      <t>2025</t>
    </r>
    <r>
      <rPr>
        <b/>
        <sz val="10"/>
        <color rgb="FF000000"/>
        <rFont val="휴먼고딕"/>
        <charset val="129"/>
      </rPr>
      <t>년</t>
    </r>
  </si>
  <si>
    <r>
      <t>2029</t>
    </r>
    <r>
      <rPr>
        <b/>
        <sz val="10"/>
        <color rgb="FF000000"/>
        <rFont val="휴먼고딕"/>
        <charset val="129"/>
      </rPr>
      <t>년</t>
    </r>
  </si>
  <si>
    <t>■ 장래 목표연도 활동인구 예측결과</t>
    <phoneticPr fontId="2" type="noConversion"/>
  </si>
  <si>
    <t>pp-69</t>
    <phoneticPr fontId="2" type="noConversion"/>
  </si>
  <si>
    <t>구분</t>
    <phoneticPr fontId="2" type="noConversion"/>
  </si>
  <si>
    <t>인당 목적통행비</t>
    <phoneticPr fontId="2" type="noConversion"/>
  </si>
  <si>
    <t>상근인구</t>
    <phoneticPr fontId="2" type="noConversion"/>
  </si>
  <si>
    <t>이용인구</t>
    <phoneticPr fontId="2" type="noConversion"/>
  </si>
  <si>
    <t>통행/인</t>
  </si>
  <si>
    <t>구 분</t>
  </si>
  <si>
    <t>유입</t>
  </si>
  <si>
    <t>유출</t>
  </si>
  <si>
    <r>
      <t xml:space="preserve">21:00 </t>
    </r>
    <r>
      <rPr>
        <sz val="10"/>
        <color rgb="FF000000"/>
        <rFont val="휴먼고딕"/>
        <charset val="129"/>
      </rPr>
      <t>이후</t>
    </r>
  </si>
  <si>
    <t>연구시설</t>
    <phoneticPr fontId="2" type="noConversion"/>
  </si>
  <si>
    <t>통근</t>
  </si>
  <si>
    <t>통학</t>
  </si>
  <si>
    <t>기타</t>
  </si>
  <si>
    <t>도시지원시설</t>
  </si>
  <si>
    <t>화물 통행량 2025</t>
    <phoneticPr fontId="2" type="noConversion"/>
  </si>
  <si>
    <t>시간대</t>
  </si>
  <si>
    <t>소형</t>
  </si>
  <si>
    <t>　중형</t>
  </si>
  <si>
    <t>대형</t>
  </si>
  <si>
    <t>　합계</t>
  </si>
  <si>
    <r>
      <t>07</t>
    </r>
    <r>
      <rPr>
        <sz val="10"/>
        <color rgb="FF000000"/>
        <rFont val="휴먼고딕"/>
        <charset val="129"/>
      </rPr>
      <t>시 이전</t>
    </r>
  </si>
  <si>
    <t>07:00~08:00</t>
  </si>
  <si>
    <t>08:00~09:00</t>
  </si>
  <si>
    <t>09:00~10:00</t>
  </si>
  <si>
    <t>10:00~11:00</t>
  </si>
  <si>
    <t>11:00~12:00</t>
  </si>
  <si>
    <t>12:00~13:00</t>
  </si>
  <si>
    <t>13:00~14:00</t>
  </si>
  <si>
    <t>14:00~15:00</t>
  </si>
  <si>
    <t>15:00~16:00</t>
  </si>
  <si>
    <t>16:00~17:00</t>
  </si>
  <si>
    <t>17:00~18:00</t>
  </si>
  <si>
    <t>18:00~19:00</t>
  </si>
  <si>
    <t>19:00~20:00</t>
  </si>
  <si>
    <t>20:00~21:00</t>
  </si>
  <si>
    <t>■ 시간대별 차종별 화물 발생교통량</t>
    <phoneticPr fontId="2" type="noConversion"/>
  </si>
  <si>
    <t>통행 발생량과 통행 도착량은 동일</t>
    <phoneticPr fontId="2" type="noConversion"/>
  </si>
  <si>
    <t>■ 장래 목표연도 1일 총 통행량 예측</t>
    <phoneticPr fontId="2" type="noConversion"/>
  </si>
  <si>
    <t>통행 발생량 + 통행 도착량</t>
    <phoneticPr fontId="2" type="noConversion"/>
  </si>
  <si>
    <t>A1</t>
    <phoneticPr fontId="2" type="noConversion"/>
  </si>
  <si>
    <t>면적</t>
    <phoneticPr fontId="2" type="noConversion"/>
  </si>
  <si>
    <t>B1</t>
    <phoneticPr fontId="2" type="noConversion"/>
  </si>
  <si>
    <t>B2</t>
  </si>
  <si>
    <t>B2</t>
    <phoneticPr fontId="2" type="noConversion"/>
  </si>
  <si>
    <t>C1</t>
    <phoneticPr fontId="2" type="noConversion"/>
  </si>
  <si>
    <t>C2</t>
  </si>
  <si>
    <t>C2</t>
    <phoneticPr fontId="2" type="noConversion"/>
  </si>
  <si>
    <t>D2</t>
    <phoneticPr fontId="2" type="noConversion"/>
  </si>
  <si>
    <t>D3</t>
    <phoneticPr fontId="2" type="noConversion"/>
  </si>
  <si>
    <t>D5</t>
    <phoneticPr fontId="2" type="noConversion"/>
  </si>
  <si>
    <t>D6</t>
  </si>
  <si>
    <t>D1</t>
    <phoneticPr fontId="2" type="noConversion"/>
  </si>
  <si>
    <t>D2</t>
    <phoneticPr fontId="2" type="noConversion"/>
  </si>
  <si>
    <t>D3</t>
    <phoneticPr fontId="2" type="noConversion"/>
  </si>
  <si>
    <t>D4</t>
    <phoneticPr fontId="2" type="noConversion"/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</si>
  <si>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</si>
  <si>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</si>
  <si>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</si>
  <si>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</si>
  <si>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</si>
  <si>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</si>
  <si>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</si>
  <si>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</si>
  <si>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</si>
  <si>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</si>
  <si>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</si>
  <si>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</si>
  <si>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</si>
  <si>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F1</t>
    <phoneticPr fontId="2" type="noConversion"/>
  </si>
  <si>
    <t>F2</t>
  </si>
  <si>
    <t>F3</t>
  </si>
  <si>
    <t>G1</t>
    <phoneticPr fontId="2" type="noConversion"/>
  </si>
  <si>
    <t>G2</t>
    <phoneticPr fontId="2" type="noConversion"/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</si>
  <si>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</si>
  <si>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</si>
  <si>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</si>
  <si>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</si>
  <si>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E</t>
    <phoneticPr fontId="2" type="noConversion"/>
  </si>
  <si>
    <t>F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</si>
  <si>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</si>
  <si>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</si>
  <si>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</si>
  <si>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F1</t>
    <phoneticPr fontId="2" type="noConversion"/>
  </si>
  <si>
    <t>F4</t>
  </si>
  <si>
    <t>F5</t>
  </si>
  <si>
    <t>F6</t>
  </si>
  <si>
    <t>G</t>
    <phoneticPr fontId="2" type="noConversion"/>
  </si>
  <si>
    <t>G1</t>
    <phoneticPr fontId="2" type="noConversion"/>
  </si>
  <si>
    <t>G2</t>
    <phoneticPr fontId="2" type="noConversion"/>
  </si>
  <si>
    <t>G3</t>
    <phoneticPr fontId="2" type="noConversion"/>
  </si>
  <si>
    <t>H</t>
    <phoneticPr fontId="2" type="noConversion"/>
  </si>
  <si>
    <t>H1</t>
    <phoneticPr fontId="2" type="noConversion"/>
  </si>
  <si>
    <t>H2</t>
    <phoneticPr fontId="2" type="noConversion"/>
  </si>
  <si>
    <t>I1</t>
    <phoneticPr fontId="2" type="noConversion"/>
  </si>
  <si>
    <t>I2</t>
    <phoneticPr fontId="2" type="noConversion"/>
  </si>
  <si>
    <t>I</t>
    <phoneticPr fontId="2" type="noConversion"/>
  </si>
  <si>
    <t>I3</t>
  </si>
  <si>
    <t>I4</t>
  </si>
  <si>
    <t>I5</t>
  </si>
  <si>
    <t>I6</t>
  </si>
  <si>
    <t>I7</t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</si>
  <si>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</si>
  <si>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</si>
  <si>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</si>
  <si>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판매시설</t>
    <phoneticPr fontId="2" type="noConversion"/>
  </si>
  <si>
    <t>지식기반시설</t>
    <phoneticPr fontId="2" type="noConversion"/>
  </si>
  <si>
    <t>지식기반시설</t>
    <phoneticPr fontId="2" type="noConversion"/>
  </si>
  <si>
    <t>첨단제조시설</t>
    <phoneticPr fontId="2" type="noConversion"/>
  </si>
  <si>
    <t>복합</t>
    <phoneticPr fontId="2" type="noConversion"/>
  </si>
  <si>
    <t>복합지원</t>
    <phoneticPr fontId="2" type="noConversion"/>
  </si>
  <si>
    <t>지원시설</t>
    <phoneticPr fontId="2" type="noConversion"/>
  </si>
  <si>
    <r>
      <t>주차장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휴먼고딕"/>
        <charset val="129"/>
      </rPr>
      <t>근린생활시설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</si>
  <si>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주차장(근린생활시설)</t>
    <phoneticPr fontId="2" type="noConversion"/>
  </si>
  <si>
    <t>용도시설</t>
    <phoneticPr fontId="2" type="noConversion"/>
  </si>
  <si>
    <t>ID</t>
    <phoneticPr fontId="2" type="noConversion"/>
  </si>
  <si>
    <t>파일 경로</t>
    <phoneticPr fontId="2" type="noConversion"/>
  </si>
  <si>
    <t>Z:\02_Completed_Works\2021W12-킨텍스교차로개선사업-211026\2021W12-99-Reference\관련_계획\2021.고양 일산테크노밸리 도시개발사업 교통영향평가(케이지엔지니어링)</t>
  </si>
  <si>
    <t>02장 교통현황조사분석_초안(0826).hwp</t>
    <phoneticPr fontId="2" type="noConversion"/>
  </si>
  <si>
    <t>Z:\02_Completed_Works\2021W12-킨텍스교차로개선사업-211026\2021W12-99-Reference\관련_계획\2021.경기고양 방송영상밸리 도시개발사업 교통영향평가(삼안)</t>
  </si>
  <si>
    <t>파일경로 :</t>
    <phoneticPr fontId="2" type="noConversion"/>
  </si>
  <si>
    <t>경기 고양 영상밸리_수정의결보완서.hwp</t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</si>
  <si>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M1</t>
    </r>
  </si>
  <si>
    <t>승용차</t>
  </si>
  <si>
    <t>택시</t>
  </si>
  <si>
    <t>버스</t>
  </si>
  <si>
    <r>
      <t>도보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HY신명조"/>
        <family val="3"/>
        <charset val="129"/>
      </rPr>
      <t>기타</t>
    </r>
  </si>
  <si>
    <t>합 계</t>
  </si>
  <si>
    <r>
      <t xml:space="preserve">07:00 </t>
    </r>
    <r>
      <rPr>
        <sz val="10"/>
        <color rgb="FF000000"/>
        <rFont val="HY신명조"/>
        <family val="3"/>
        <charset val="129"/>
      </rPr>
      <t>이전</t>
    </r>
  </si>
  <si>
    <r>
      <t xml:space="preserve">21:00 </t>
    </r>
    <r>
      <rPr>
        <sz val="10"/>
        <color rgb="FF000000"/>
        <rFont val="HY신명조"/>
        <family val="3"/>
        <charset val="129"/>
      </rPr>
      <t>이후</t>
    </r>
  </si>
  <si>
    <t>평균재차인원</t>
  </si>
  <si>
    <t>공동주택</t>
  </si>
  <si>
    <t>상주인구</t>
  </si>
  <si>
    <t>방문인구</t>
  </si>
  <si>
    <t>상업시설</t>
  </si>
  <si>
    <t>방송시설</t>
  </si>
  <si>
    <t>일반업무시설</t>
  </si>
  <si>
    <t>공공업무시설</t>
  </si>
  <si>
    <t>학교시설</t>
  </si>
  <si>
    <t>&lt;표 3-&gt; 시설별 ·차종별 평균재차인원 산정</t>
    <phoneticPr fontId="2" type="noConversion"/>
  </si>
  <si>
    <r>
      <t>2024</t>
    </r>
    <r>
      <rPr>
        <b/>
        <sz val="9"/>
        <color rgb="FF000000"/>
        <rFont val="HY신명조"/>
        <family val="3"/>
        <charset val="129"/>
      </rPr>
      <t>년</t>
    </r>
  </si>
  <si>
    <t>택 시</t>
  </si>
  <si>
    <t>구 분</t>
    <phoneticPr fontId="2" type="noConversion"/>
  </si>
  <si>
    <t>&lt;표 3-&gt; 시간대별 유출입 통행량(주거시설, 2024년)</t>
    <phoneticPr fontId="2" type="noConversion"/>
  </si>
  <si>
    <t>구 분</t>
    <phoneticPr fontId="2" type="noConversion"/>
  </si>
  <si>
    <t>(단위 : 통행/시, 통행/일)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</si>
  <si>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M2</t>
    </r>
  </si>
  <si>
    <t>&lt;표 3-&gt; 장래 시간대별 발생교통량(주거시설, M1)</t>
    <phoneticPr fontId="2" type="noConversion"/>
  </si>
  <si>
    <r>
      <t>2024</t>
    </r>
    <r>
      <rPr>
        <b/>
        <sz val="10"/>
        <color rgb="FF000000"/>
        <rFont val="HY신명조"/>
        <family val="3"/>
        <charset val="129"/>
      </rPr>
      <t>년</t>
    </r>
  </si>
  <si>
    <t>&lt;표 3-&gt; 장래 시간대별 발생교통량(주거시설, M2)</t>
    <phoneticPr fontId="2" type="noConversion"/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</si>
  <si>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M3</t>
    </r>
  </si>
  <si>
    <r>
      <t xml:space="preserve">주상복합 </t>
    </r>
    <r>
      <rPr>
        <b/>
        <sz val="10"/>
        <color rgb="FF000000"/>
        <rFont val="맑은 고딕"/>
        <family val="3"/>
        <charset val="129"/>
        <scheme val="minor"/>
      </rPr>
      <t>M4</t>
    </r>
  </si>
  <si>
    <t>&lt;표 3-&gt; 장래 시간대별 발생교통량(주거시설, M3)</t>
    <phoneticPr fontId="2" type="noConversion"/>
  </si>
  <si>
    <t xml:space="preserve">&lt;표 3-&gt; 장래 시간대별 발생교통량(주거시설, M4)
</t>
    <phoneticPr fontId="2" type="noConversion"/>
  </si>
  <si>
    <t>&lt;표 3-&gt; 장래 시간대별 발생교통량(주거시설, 단독주택)</t>
    <phoneticPr fontId="2" type="noConversion"/>
  </si>
  <si>
    <t>버스는 노선버스로 가정</t>
    <phoneticPr fontId="2" type="noConversion"/>
  </si>
  <si>
    <t>시내버스 재차인원</t>
    <phoneticPr fontId="2" type="noConversion"/>
  </si>
  <si>
    <t>경기도</t>
    <phoneticPr fontId="2" type="noConversion"/>
  </si>
  <si>
    <t>재차인원</t>
    <phoneticPr fontId="2" type="noConversion"/>
  </si>
  <si>
    <t>pp-194</t>
    <phoneticPr fontId="2" type="noConversion"/>
  </si>
  <si>
    <t>KTDB, 수도권 설명자료</t>
    <phoneticPr fontId="2" type="noConversion"/>
  </si>
  <si>
    <t>pp-37</t>
    <phoneticPr fontId="2" type="noConversion"/>
  </si>
  <si>
    <t>&lt;표 3-&gt; 교통수단별 통행량 예측(주거시설, 2024년)</t>
    <phoneticPr fontId="2" type="noConversion"/>
  </si>
  <si>
    <r>
      <t>(</t>
    </r>
    <r>
      <rPr>
        <sz val="9"/>
        <color rgb="FF000000"/>
        <rFont val="HY신명조"/>
        <family val="3"/>
        <charset val="129"/>
      </rPr>
      <t xml:space="preserve">단위 </t>
    </r>
    <r>
      <rPr>
        <sz val="9"/>
        <color rgb="FF000000"/>
        <rFont val="맑은 고딕"/>
        <family val="3"/>
        <charset val="129"/>
        <scheme val="minor"/>
      </rPr>
      <t xml:space="preserve">: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시</t>
    </r>
    <r>
      <rPr>
        <sz val="9"/>
        <color rgb="FF000000"/>
        <rFont val="맑은 고딕"/>
        <family val="3"/>
        <charset val="129"/>
        <scheme val="minor"/>
      </rPr>
      <t xml:space="preserve">, </t>
    </r>
    <r>
      <rPr>
        <sz val="9"/>
        <color rgb="FF000000"/>
        <rFont val="HY신명조"/>
        <family val="3"/>
        <charset val="129"/>
      </rPr>
      <t>통행</t>
    </r>
    <r>
      <rPr>
        <sz val="9"/>
        <color rgb="FF000000"/>
        <rFont val="맑은 고딕"/>
        <family val="3"/>
        <charset val="129"/>
        <scheme val="minor"/>
      </rPr>
      <t>/</t>
    </r>
    <r>
      <rPr>
        <sz val="9"/>
        <color rgb="FF000000"/>
        <rFont val="HY신명조"/>
        <family val="3"/>
        <charset val="129"/>
      </rPr>
      <t>일</t>
    </r>
    <r>
      <rPr>
        <sz val="9"/>
        <color rgb="FF000000"/>
        <rFont val="맑은 고딕"/>
        <family val="3"/>
        <charset val="129"/>
        <scheme val="minor"/>
      </rPr>
      <t>)</t>
    </r>
  </si>
  <si>
    <t>주상복합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</si>
  <si>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</si>
  <si>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</si>
  <si>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</si>
  <si>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</si>
  <si>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단독주택</t>
    <phoneticPr fontId="2" type="noConversion"/>
  </si>
  <si>
    <t>&lt;표 3-&gt; 교통수단별 통행량 예측(비주거시설, 2024년)</t>
    <phoneticPr fontId="2" type="noConversion"/>
  </si>
  <si>
    <t>(단위 : 통행/시, 통행/일)</t>
    <phoneticPr fontId="2" type="noConversion"/>
  </si>
  <si>
    <t>구분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</si>
  <si>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</si>
  <si>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</si>
  <si>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</si>
  <si>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</si>
  <si>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</si>
  <si>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</si>
  <si>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&lt;표 3-&gt; 장래 시간대별 발생교통량(주거시설, M1)</t>
    <phoneticPr fontId="2" type="noConversion"/>
  </si>
  <si>
    <t>pp-195</t>
    <phoneticPr fontId="2" type="noConversion"/>
  </si>
  <si>
    <t>pp-182</t>
    <phoneticPr fontId="2" type="noConversion"/>
  </si>
  <si>
    <t>2024년</t>
    <phoneticPr fontId="2" type="noConversion"/>
  </si>
  <si>
    <t>용도시설</t>
    <phoneticPr fontId="2" type="noConversion"/>
  </si>
  <si>
    <t>A2</t>
    <phoneticPr fontId="2" type="noConversion"/>
  </si>
  <si>
    <t>상업시설</t>
    <phoneticPr fontId="2" type="noConversion"/>
  </si>
  <si>
    <t>상업시설</t>
    <phoneticPr fontId="2" type="noConversion"/>
  </si>
  <si>
    <t>B3</t>
  </si>
  <si>
    <t>B4</t>
  </si>
  <si>
    <t>C1</t>
    <phoneticPr fontId="2" type="noConversion"/>
  </si>
  <si>
    <t>C3</t>
  </si>
  <si>
    <t>도시지원시설</t>
    <phoneticPr fontId="2" type="noConversion"/>
  </si>
  <si>
    <t>E1</t>
    <phoneticPr fontId="2" type="noConversion"/>
  </si>
  <si>
    <t>E2</t>
    <phoneticPr fontId="2" type="noConversion"/>
  </si>
  <si>
    <t>E3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</si>
  <si>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</si>
  <si>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</si>
  <si>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</si>
  <si>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근린생황시설</t>
    <phoneticPr fontId="2" type="noConversion"/>
  </si>
  <si>
    <t>H1</t>
    <phoneticPr fontId="2" type="noConversion"/>
  </si>
  <si>
    <t>: 수도권 재차인원 반영 추정대수</t>
    <phoneticPr fontId="2" type="noConversion"/>
  </si>
  <si>
    <t>통행량</t>
    <phoneticPr fontId="2" type="noConversion"/>
  </si>
  <si>
    <t>작성 요망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</si>
  <si>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</si>
  <si>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01_2. 변경심의 보고서(191108)-최종.hwp</t>
  </si>
  <si>
    <t>pp-7</t>
    <phoneticPr fontId="2" type="noConversion"/>
  </si>
  <si>
    <t xml:space="preserve">파일경로 : </t>
    <phoneticPr fontId="2" type="noConversion"/>
  </si>
  <si>
    <t>X:\00_TLSYSLAB_Mighty_Drive\2021W12-킨텍스교차로개선사업-211026\2021W12-99-Reference\01 관련자료(lh)\★211013_교평변경신고_최종보고서</t>
  </si>
  <si>
    <t>고양장항 공공주택지구 교통영향평가 변경신고(통합보고서).pdf</t>
    <phoneticPr fontId="2" type="noConversion"/>
  </si>
  <si>
    <t>토지이용계획도</t>
    <phoneticPr fontId="2" type="noConversion"/>
  </si>
  <si>
    <t>통행량</t>
    <phoneticPr fontId="2" type="noConversion"/>
  </si>
  <si>
    <t>2로 나눠야됨</t>
    <phoneticPr fontId="2" type="noConversion"/>
  </si>
  <si>
    <t>(단위 : 통행/일)</t>
    <phoneticPr fontId="2" type="noConversion"/>
  </si>
  <si>
    <t>도보 및 기타</t>
  </si>
  <si>
    <t>주거시설</t>
  </si>
  <si>
    <t>산업시설</t>
  </si>
  <si>
    <t>지원 및 상업시설</t>
  </si>
  <si>
    <t>기타시설</t>
  </si>
  <si>
    <t>구 분</t>
    <phoneticPr fontId="2" type="noConversion"/>
  </si>
  <si>
    <t>■ 주교통수단별 통행분담율 예측</t>
    <phoneticPr fontId="2" type="noConversion"/>
  </si>
  <si>
    <t>pp-78</t>
    <phoneticPr fontId="2" type="noConversion"/>
  </si>
  <si>
    <t>(단위 : %)</t>
    <phoneticPr fontId="2" type="noConversion"/>
  </si>
  <si>
    <t>재차인원</t>
  </si>
  <si>
    <t>■ 유사시설 차량당 평균재차인원</t>
    <phoneticPr fontId="2" type="noConversion"/>
  </si>
  <si>
    <t>(단위 : 인/대)</t>
    <phoneticPr fontId="2" type="noConversion"/>
  </si>
  <si>
    <t>노선버스</t>
    <phoneticPr fontId="2" type="noConversion"/>
  </si>
  <si>
    <t>비노선버스</t>
    <phoneticPr fontId="2" type="noConversion"/>
  </si>
  <si>
    <t>수도권 기초자료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</si>
  <si>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</si>
  <si>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</si>
  <si>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</si>
  <si>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도보 및 기타</t>
    <phoneticPr fontId="2" type="noConversion"/>
  </si>
  <si>
    <t>계</t>
    <phoneticPr fontId="2" type="noConversion"/>
  </si>
  <si>
    <t>상근인구</t>
    <phoneticPr fontId="2" type="noConversion"/>
  </si>
  <si>
    <t>이용인구</t>
    <phoneticPr fontId="2" type="noConversion"/>
  </si>
  <si>
    <t>2025년</t>
    <phoneticPr fontId="2" type="noConversion"/>
  </si>
  <si>
    <t>복합
용지
시설</t>
    <phoneticPr fontId="2" type="noConversion"/>
  </si>
  <si>
    <r>
      <t>주차장</t>
    </r>
    <r>
      <rPr>
        <b/>
        <sz val="10"/>
        <color rgb="FF000000"/>
        <rFont val="맑은 고딕"/>
        <family val="3"/>
        <charset val="129"/>
        <scheme val="minor"/>
      </rPr>
      <t>(</t>
    </r>
    <r>
      <rPr>
        <b/>
        <sz val="10"/>
        <color rgb="FF000000"/>
        <rFont val="휴먼고딕"/>
        <charset val="129"/>
      </rPr>
      <t>근린생활시설</t>
    </r>
    <r>
      <rPr>
        <b/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</si>
  <si>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t>2029년</t>
    <phoneticPr fontId="2" type="noConversion"/>
  </si>
  <si>
    <t>수단별 통행량(2025년)</t>
    <phoneticPr fontId="2" type="noConversion"/>
  </si>
  <si>
    <t>구역이 1개이므로, 교통영향평가에서 
산출한 통행량 사용</t>
    <phoneticPr fontId="2" type="noConversion"/>
  </si>
  <si>
    <t>pp-70</t>
    <phoneticPr fontId="2" type="noConversion"/>
  </si>
  <si>
    <t>(단위 : 인/일)</t>
    <phoneticPr fontId="2" type="noConversion"/>
  </si>
  <si>
    <t>pp-80</t>
    <phoneticPr fontId="2" type="noConversion"/>
  </si>
  <si>
    <t>질문사항</t>
    <phoneticPr fontId="2" type="noConversion"/>
  </si>
  <si>
    <t>수단별 통행량(2029년)</t>
    <phoneticPr fontId="2" type="noConversion"/>
  </si>
  <si>
    <t>블록 면적의 합</t>
    <phoneticPr fontId="2" type="noConversion"/>
  </si>
  <si>
    <t>A1</t>
    <phoneticPr fontId="2" type="noConversion"/>
  </si>
  <si>
    <t>A2</t>
    <phoneticPr fontId="2" type="noConversion"/>
  </si>
  <si>
    <t>H1</t>
    <phoneticPr fontId="2" type="noConversion"/>
  </si>
  <si>
    <t>H2</t>
    <phoneticPr fontId="2" type="noConversion"/>
  </si>
  <si>
    <t>방문</t>
  </si>
  <si>
    <t>인구</t>
  </si>
  <si>
    <t>상근</t>
  </si>
  <si>
    <t>이용</t>
  </si>
  <si>
    <r>
      <t>2023</t>
    </r>
    <r>
      <rPr>
        <sz val="10"/>
        <color rgb="FF000000"/>
        <rFont val="가는둥근제목체"/>
        <family val="3"/>
        <charset val="129"/>
      </rPr>
      <t>년</t>
    </r>
  </si>
  <si>
    <t>주택</t>
  </si>
  <si>
    <t>건설</t>
  </si>
  <si>
    <t>단독</t>
  </si>
  <si>
    <t>소계</t>
  </si>
  <si>
    <t>일반</t>
  </si>
  <si>
    <t>공동</t>
  </si>
  <si>
    <t>아파트</t>
  </si>
  <si>
    <r>
      <t>60</t>
    </r>
    <r>
      <rPr>
        <sz val="10"/>
        <color rgb="FF000000"/>
        <rFont val="가는둥근제목체"/>
        <family val="3"/>
        <charset val="129"/>
      </rPr>
      <t>㎡이하</t>
    </r>
  </si>
  <si>
    <r>
      <t>60</t>
    </r>
    <r>
      <rPr>
        <sz val="10"/>
        <color rgb="FF000000"/>
        <rFont val="가는둥근제목체"/>
        <family val="3"/>
        <charset val="129"/>
      </rPr>
      <t>㎡∼</t>
    </r>
    <r>
      <rPr>
        <sz val="10"/>
        <color rgb="FF000000"/>
        <rFont val="맑은 고딕"/>
        <family val="3"/>
        <charset val="129"/>
        <scheme val="minor"/>
      </rPr>
      <t>85</t>
    </r>
    <r>
      <rPr>
        <sz val="10"/>
        <color rgb="FF000000"/>
        <rFont val="가는둥근제목체"/>
        <family val="3"/>
        <charset val="129"/>
      </rPr>
      <t>㎡</t>
    </r>
  </si>
  <si>
    <t>주상</t>
  </si>
  <si>
    <r>
      <t>85</t>
    </r>
    <r>
      <rPr>
        <sz val="10"/>
        <color rgb="FF000000"/>
        <rFont val="가는둥근제목체"/>
        <family val="3"/>
        <charset val="129"/>
      </rPr>
      <t>㎡초과</t>
    </r>
  </si>
  <si>
    <t>공공</t>
  </si>
  <si>
    <t>상업업무시설</t>
  </si>
  <si>
    <t>교육시설</t>
  </si>
  <si>
    <t>공공청사</t>
  </si>
  <si>
    <t>종교시설</t>
  </si>
  <si>
    <t>복합커뮤니티시설</t>
  </si>
  <si>
    <r>
      <t>2027</t>
    </r>
    <r>
      <rPr>
        <sz val="10"/>
        <color rgb="FF000000"/>
        <rFont val="가는둥근제목체"/>
        <family val="3"/>
        <charset val="129"/>
      </rPr>
      <t>년</t>
    </r>
  </si>
  <si>
    <t>구 분</t>
    <phoneticPr fontId="2" type="noConversion"/>
  </si>
  <si>
    <t>&lt; 표 3- &gt; 장래 통행목적별 통행발생량 예측결과</t>
    <phoneticPr fontId="2" type="noConversion"/>
  </si>
  <si>
    <r>
      <t>목적통행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가는둥근제목체"/>
        <family val="3"/>
        <charset val="129"/>
      </rPr>
      <t>통행</t>
    </r>
    <r>
      <rPr>
        <sz val="10"/>
        <color rgb="FF000000"/>
        <rFont val="맑은 고딕"/>
        <family val="3"/>
        <charset val="129"/>
        <scheme val="minor"/>
      </rPr>
      <t>/</t>
    </r>
    <r>
      <rPr>
        <sz val="10"/>
        <color rgb="FF000000"/>
        <rFont val="가는둥근제목체"/>
        <family val="3"/>
        <charset val="129"/>
      </rPr>
      <t>일</t>
    </r>
    <r>
      <rPr>
        <sz val="10"/>
        <color rgb="FF000000"/>
        <rFont val="맑은 고딕"/>
        <family val="3"/>
        <charset val="129"/>
        <scheme val="minor"/>
      </rPr>
      <t>)</t>
    </r>
  </si>
  <si>
    <r>
      <t>구성 비율</t>
    </r>
    <r>
      <rPr>
        <sz val="10"/>
        <color rgb="FF000000"/>
        <rFont val="맑은 고딕"/>
        <family val="3"/>
        <charset val="129"/>
        <scheme val="minor"/>
      </rPr>
      <t>(%)</t>
    </r>
  </si>
  <si>
    <t>구분</t>
    <phoneticPr fontId="2" type="noConversion"/>
  </si>
  <si>
    <t>&lt; 표 3- &gt; 통행목적별 구성비</t>
    <phoneticPr fontId="2" type="noConversion"/>
  </si>
  <si>
    <t>주거</t>
  </si>
  <si>
    <t>상주</t>
  </si>
  <si>
    <t>근린</t>
  </si>
  <si>
    <t>생활</t>
  </si>
  <si>
    <t>(단위 : 통행/일)</t>
    <phoneticPr fontId="2" type="noConversion"/>
  </si>
  <si>
    <t>&lt; 표 3- &gt; 장래 수단분담률 예측결과</t>
    <phoneticPr fontId="2" type="noConversion"/>
  </si>
  <si>
    <t>승용차</t>
    <phoneticPr fontId="2" type="noConversion"/>
  </si>
  <si>
    <t>택시</t>
    <phoneticPr fontId="2" type="noConversion"/>
  </si>
  <si>
    <t>버스</t>
    <phoneticPr fontId="2" type="noConversion"/>
  </si>
  <si>
    <t>아파트</t>
    <phoneticPr fontId="2" type="noConversion"/>
  </si>
  <si>
    <t>주상복합</t>
    <phoneticPr fontId="2" type="noConversion"/>
  </si>
  <si>
    <t>단독주택</t>
    <phoneticPr fontId="2" type="noConversion"/>
  </si>
  <si>
    <t>단독 or 공동</t>
    <phoneticPr fontId="2" type="noConversion"/>
  </si>
  <si>
    <t>근린생활시설</t>
    <phoneticPr fontId="2" type="noConversion"/>
  </si>
  <si>
    <t>주거용지</t>
    <phoneticPr fontId="2" type="noConversion"/>
  </si>
  <si>
    <t>방문인구</t>
    <phoneticPr fontId="2" type="noConversion"/>
  </si>
  <si>
    <t>상주인구</t>
    <phoneticPr fontId="2" type="noConversion"/>
  </si>
  <si>
    <t>이용인구</t>
    <phoneticPr fontId="2" type="noConversion"/>
  </si>
  <si>
    <t>2027년 수단별 통행량</t>
    <phoneticPr fontId="2" type="noConversion"/>
  </si>
  <si>
    <t>&lt; 표 3- &gt; 차종별 평균 재차인원</t>
    <phoneticPr fontId="2" type="noConversion"/>
  </si>
  <si>
    <t>2023년 수단별 통행량</t>
    <phoneticPr fontId="2" type="noConversion"/>
  </si>
  <si>
    <t>승용차</t>
    <phoneticPr fontId="2" type="noConversion"/>
  </si>
  <si>
    <t>택시</t>
    <phoneticPr fontId="2" type="noConversion"/>
  </si>
  <si>
    <t>2023년 수단별 통행량(수단 계)</t>
    <phoneticPr fontId="2" type="noConversion"/>
  </si>
  <si>
    <t>2027년 수단별 통행량(수단 계)</t>
    <phoneticPr fontId="2" type="noConversion"/>
  </si>
  <si>
    <t>2023년 수단별 통행량 (대/일)</t>
    <phoneticPr fontId="2" type="noConversion"/>
  </si>
  <si>
    <t>2027년 수단별 통행량(대/일)</t>
    <phoneticPr fontId="2" type="noConversion"/>
  </si>
  <si>
    <t>세대수,</t>
  </si>
  <si>
    <t>2025년</t>
  </si>
  <si>
    <t>2029년</t>
  </si>
  <si>
    <t>(세대, ㎡)</t>
  </si>
  <si>
    <t>■ 장래 목표연도 1일 총 통행량 예측</t>
    <phoneticPr fontId="2" type="noConversion"/>
  </si>
  <si>
    <t>통행 발생량 + 통행 도착량</t>
    <phoneticPr fontId="2" type="noConversion"/>
  </si>
  <si>
    <t>2로 나눠야됨</t>
    <phoneticPr fontId="2" type="noConversion"/>
  </si>
  <si>
    <t>구분</t>
    <phoneticPr fontId="2" type="noConversion"/>
  </si>
  <si>
    <t>통행량</t>
    <phoneticPr fontId="2" type="noConversion"/>
  </si>
  <si>
    <t>단독주택</t>
    <phoneticPr fontId="2" type="noConversion"/>
  </si>
  <si>
    <t>지식기반시설</t>
    <phoneticPr fontId="2" type="noConversion"/>
  </si>
  <si>
    <t>연구시설</t>
    <phoneticPr fontId="2" type="noConversion"/>
  </si>
  <si>
    <t>첨단제조시설</t>
    <phoneticPr fontId="2" type="noConversion"/>
  </si>
  <si>
    <t>지원시설</t>
    <phoneticPr fontId="2" type="noConversion"/>
  </si>
  <si>
    <t>주차장(근린생활시설)</t>
    <phoneticPr fontId="2" type="noConversion"/>
  </si>
  <si>
    <t>수단별 통행량(2025년) , 대/일</t>
    <phoneticPr fontId="2" type="noConversion"/>
  </si>
  <si>
    <t>수단별 발생량(2029년), 대/일</t>
    <phoneticPr fontId="2" type="noConversion"/>
  </si>
  <si>
    <t>버스</t>
    <phoneticPr fontId="2" type="noConversion"/>
  </si>
  <si>
    <t>버스</t>
    <phoneticPr fontId="2" type="noConversion"/>
  </si>
  <si>
    <t>A3</t>
  </si>
  <si>
    <t>A4</t>
  </si>
  <si>
    <t>A5</t>
  </si>
  <si>
    <t>A6</t>
  </si>
  <si>
    <t>A7</t>
  </si>
  <si>
    <t>A</t>
    <phoneticPr fontId="2" type="noConversion"/>
  </si>
  <si>
    <t>B</t>
    <phoneticPr fontId="2" type="noConversion"/>
  </si>
  <si>
    <t>C</t>
    <phoneticPr fontId="2" type="noConversion"/>
  </si>
  <si>
    <t>D</t>
    <phoneticPr fontId="2" type="noConversion"/>
  </si>
  <si>
    <t>F</t>
    <phoneticPr fontId="2" type="noConversion"/>
  </si>
  <si>
    <t>G</t>
    <phoneticPr fontId="2" type="noConversion"/>
  </si>
  <si>
    <t>아파트 60 이하</t>
    <phoneticPr fontId="2" type="noConversion"/>
  </si>
  <si>
    <t>B1</t>
    <phoneticPr fontId="2" type="noConversion"/>
  </si>
  <si>
    <t>B5</t>
  </si>
  <si>
    <t>B6</t>
  </si>
  <si>
    <t>아파트 60 이하 
+ 아파트 60-85</t>
    <phoneticPr fontId="2" type="noConversion"/>
  </si>
  <si>
    <t>아파트 60-85</t>
    <phoneticPr fontId="2" type="noConversion"/>
  </si>
  <si>
    <t>C1</t>
    <phoneticPr fontId="2" type="noConversion"/>
  </si>
  <si>
    <t>D1</t>
    <phoneticPr fontId="2" type="noConversion"/>
  </si>
  <si>
    <t>주상복합 60-85
+ 85 초과</t>
    <phoneticPr fontId="2" type="noConversion"/>
  </si>
  <si>
    <t>근린생활시설</t>
    <phoneticPr fontId="2" type="noConversion"/>
  </si>
  <si>
    <t>E1</t>
    <phoneticPr fontId="2" type="noConversion"/>
  </si>
  <si>
    <t>E2</t>
    <phoneticPr fontId="2" type="noConversion"/>
  </si>
  <si>
    <t>E3</t>
  </si>
  <si>
    <t>E4</t>
  </si>
  <si>
    <t>상업업무시설</t>
    <phoneticPr fontId="2" type="noConversion"/>
  </si>
  <si>
    <t>F1</t>
    <phoneticPr fontId="2" type="noConversion"/>
  </si>
  <si>
    <t>교육시설</t>
    <phoneticPr fontId="2" type="noConversion"/>
  </si>
  <si>
    <t>E</t>
    <phoneticPr fontId="2" type="noConversion"/>
  </si>
  <si>
    <t>G1</t>
    <phoneticPr fontId="2" type="noConversion"/>
  </si>
  <si>
    <t>공공청사</t>
    <phoneticPr fontId="2" type="noConversion"/>
  </si>
  <si>
    <t>H1</t>
    <phoneticPr fontId="2" type="noConversion"/>
  </si>
  <si>
    <t>종교시설</t>
    <phoneticPr fontId="2" type="noConversion"/>
  </si>
  <si>
    <t>I1</t>
    <phoneticPr fontId="2" type="noConversion"/>
  </si>
  <si>
    <t>I2</t>
  </si>
  <si>
    <t>복합커뮤니티시설</t>
    <phoneticPr fontId="2" type="noConversion"/>
  </si>
  <si>
    <t>J1</t>
    <phoneticPr fontId="2" type="noConversion"/>
  </si>
  <si>
    <t>도시지원시설</t>
    <phoneticPr fontId="2" type="noConversion"/>
  </si>
  <si>
    <t>K1</t>
    <phoneticPr fontId="2" type="noConversion"/>
  </si>
  <si>
    <t>K2</t>
  </si>
  <si>
    <t>Z:\02_Completed_Works\2021W12-킨텍스교차로개선사업-211026\2021W12-99-Reference\관련_계획\2020.씨제이라이브시티 복합개발사업 T부지(T1,T2) 교통영향평가(약식)(변경심의)(동림피엔디) (1)</t>
    <phoneticPr fontId="2" type="noConversion"/>
  </si>
  <si>
    <t>씨제이라이브시티 복합개발사업 T부지(T1,T2) 교통영향평가(약식)(변경심의)-5장.hwp</t>
  </si>
  <si>
    <t>pp-246</t>
    <phoneticPr fontId="2" type="noConversion"/>
  </si>
  <si>
    <t>pp-261</t>
    <phoneticPr fontId="2" type="noConversion"/>
  </si>
  <si>
    <t>지하철</t>
  </si>
  <si>
    <t xml:space="preserve">유입 </t>
  </si>
  <si>
    <t xml:space="preserve">계 </t>
  </si>
  <si>
    <t xml:space="preserve">❏ 문화 및 집회시설(아레나)(T2부지)
</t>
    <phoneticPr fontId="2" type="noConversion"/>
  </si>
  <si>
    <t xml:space="preserve">❏ 방송시설(스튜디오), 판매시설, 위락시설(테마파크)(T2부지)
</t>
    <phoneticPr fontId="2" type="noConversion"/>
  </si>
  <si>
    <t>&lt;표 5-3-32&gt; 장래 교통수단별 시간대별 통행량 분포 예측 결과(2024년 평일)</t>
    <phoneticPr fontId="2" type="noConversion"/>
  </si>
  <si>
    <r>
      <t>❏ 방송시설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방송통신시설</t>
    </r>
    <r>
      <rPr>
        <sz val="10"/>
        <color rgb="FF000000"/>
        <rFont val="맑은 고딕"/>
        <family val="3"/>
        <charset val="129"/>
        <scheme val="minor"/>
      </rPr>
      <t xml:space="preserve">), </t>
    </r>
    <r>
      <rPr>
        <sz val="10"/>
        <color rgb="FF000000"/>
        <rFont val="08서울남산체 B"/>
        <family val="3"/>
        <charset val="129"/>
      </rPr>
      <t>판매시설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08서울남산체 B"/>
        <family val="3"/>
        <charset val="129"/>
      </rPr>
      <t>위락시설</t>
    </r>
    <r>
      <rPr>
        <sz val="10"/>
        <color rgb="FF000000"/>
        <rFont val="맑은 고딕"/>
        <family val="3"/>
        <charset val="129"/>
        <scheme val="minor"/>
      </rPr>
      <t>(</t>
    </r>
    <r>
      <rPr>
        <sz val="10"/>
        <color rgb="FF000000"/>
        <rFont val="08서울남산체 B"/>
        <family val="3"/>
        <charset val="129"/>
      </rPr>
      <t>테마파크</t>
    </r>
    <r>
      <rPr>
        <sz val="10"/>
        <color rgb="FF000000"/>
        <rFont val="맑은 고딕"/>
        <family val="3"/>
        <charset val="129"/>
        <scheme val="minor"/>
      </rPr>
      <t>)(T1</t>
    </r>
    <r>
      <rPr>
        <sz val="10"/>
        <color rgb="FF000000"/>
        <rFont val="08서울남산체 B"/>
        <family val="3"/>
        <charset val="129"/>
      </rPr>
      <t>부지</t>
    </r>
    <r>
      <rPr>
        <sz val="10"/>
        <color rgb="FF000000"/>
        <rFont val="맑은 고딕"/>
        <family val="3"/>
        <charset val="129"/>
        <scheme val="minor"/>
      </rPr>
      <t>)</t>
    </r>
    <phoneticPr fontId="2" type="noConversion"/>
  </si>
  <si>
    <r>
      <t xml:space="preserve">❏ </t>
    </r>
    <r>
      <rPr>
        <sz val="11"/>
        <color rgb="FF000000"/>
        <rFont val="맑은 고딕"/>
        <family val="3"/>
        <charset val="129"/>
        <scheme val="minor"/>
      </rPr>
      <t>T2</t>
    </r>
    <r>
      <rPr>
        <sz val="11"/>
        <color rgb="FF000000"/>
        <rFont val="08서울남산체 B"/>
        <family val="3"/>
        <charset val="129"/>
      </rPr>
      <t>부지 종합</t>
    </r>
    <r>
      <rPr>
        <sz val="11"/>
        <color rgb="FF000000"/>
        <rFont val="맑은 고딕"/>
        <family val="3"/>
        <charset val="129"/>
        <scheme val="minor"/>
      </rPr>
      <t>(</t>
    </r>
    <r>
      <rPr>
        <sz val="11"/>
        <color rgb="FF000000"/>
        <rFont val="08서울남산체 B"/>
        <family val="3"/>
        <charset val="129"/>
      </rPr>
      <t>문화 및 집회시설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방송시설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판매시설</t>
    </r>
    <r>
      <rPr>
        <sz val="11"/>
        <color rgb="FF000000"/>
        <rFont val="맑은 고딕"/>
        <family val="3"/>
        <charset val="129"/>
        <scheme val="minor"/>
      </rPr>
      <t>+</t>
    </r>
    <r>
      <rPr>
        <sz val="11"/>
        <color rgb="FF000000"/>
        <rFont val="08서울남산체 B"/>
        <family val="3"/>
        <charset val="129"/>
      </rPr>
      <t>위락시설</t>
    </r>
    <r>
      <rPr>
        <sz val="11"/>
        <color rgb="FF000000"/>
        <rFont val="맑은 고딕"/>
        <family val="3"/>
        <charset val="129"/>
        <scheme val="minor"/>
      </rPr>
      <t>)</t>
    </r>
    <phoneticPr fontId="2" type="noConversion"/>
  </si>
  <si>
    <t>통행/일</t>
    <phoneticPr fontId="2" type="noConversion"/>
  </si>
  <si>
    <t>&lt;표 5-3-35&gt; 장래 시간대별 발생교통량 예측(2024년 평일)</t>
    <phoneticPr fontId="2" type="noConversion"/>
  </si>
  <si>
    <t>평일</t>
  </si>
  <si>
    <t>문화 및 집회시설</t>
  </si>
  <si>
    <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</si>
  <si>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</si>
  <si>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</si>
  <si>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t>위락시설</t>
  </si>
  <si>
    <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</si>
  <si>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t>휴일</t>
  </si>
  <si>
    <t>구 분</t>
    <phoneticPr fontId="2" type="noConversion"/>
  </si>
  <si>
    <t>&lt;표 5-3-34&gt; 차종별 평균재차인원 산정</t>
    <phoneticPr fontId="2" type="noConversion"/>
  </si>
  <si>
    <t>노선버스</t>
    <phoneticPr fontId="2" type="noConversion"/>
  </si>
  <si>
    <t>비노선버스</t>
    <phoneticPr fontId="2" type="noConversion"/>
  </si>
  <si>
    <t>비노선버스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</si>
  <si>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</si>
  <si>
    <t>seoul</t>
  </si>
  <si>
    <t>goyang</t>
  </si>
  <si>
    <t>gyeonggi</t>
  </si>
  <si>
    <t>incheon</t>
  </si>
  <si>
    <t>etc</t>
  </si>
  <si>
    <t>통행 발생량 = 통행 도착량</t>
    <phoneticPr fontId="2" type="noConversion"/>
  </si>
  <si>
    <t>복합
용지
시설</t>
  </si>
  <si>
    <t>구분</t>
    <phoneticPr fontId="35" type="noConversion"/>
  </si>
  <si>
    <t>도보</t>
    <phoneticPr fontId="35" type="noConversion"/>
  </si>
  <si>
    <t>승용차</t>
    <phoneticPr fontId="35" type="noConversion"/>
  </si>
  <si>
    <t>버스</t>
    <phoneticPr fontId="35" type="noConversion"/>
  </si>
  <si>
    <t>전철/철도</t>
    <phoneticPr fontId="35" type="noConversion"/>
  </si>
  <si>
    <t>화물차</t>
    <phoneticPr fontId="35" type="noConversion"/>
  </si>
  <si>
    <t>자전거</t>
    <phoneticPr fontId="35" type="noConversion"/>
  </si>
  <si>
    <t>기타</t>
    <phoneticPr fontId="35" type="noConversion"/>
  </si>
  <si>
    <t>합계</t>
    <phoneticPr fontId="35" type="noConversion"/>
  </si>
  <si>
    <t>시내버스</t>
    <phoneticPr fontId="35" type="noConversion"/>
  </si>
  <si>
    <t>광역버스</t>
    <phoneticPr fontId="35" type="noConversion"/>
  </si>
  <si>
    <t>마을버스</t>
    <phoneticPr fontId="35" type="noConversion"/>
  </si>
  <si>
    <t>시외/고속버스</t>
    <phoneticPr fontId="35" type="noConversion"/>
  </si>
  <si>
    <t>기타버스</t>
    <phoneticPr fontId="35" type="noConversion"/>
  </si>
  <si>
    <t>지하철/전철</t>
    <phoneticPr fontId="35" type="noConversion"/>
  </si>
  <si>
    <t>(고속)철도</t>
  </si>
  <si>
    <t>지역내</t>
    <phoneticPr fontId="35" type="noConversion"/>
  </si>
  <si>
    <t>지역-경기</t>
    <phoneticPr fontId="35" type="noConversion"/>
  </si>
  <si>
    <t>지역-서울</t>
    <phoneticPr fontId="35" type="noConversion"/>
  </si>
  <si>
    <t>지역-인천</t>
    <phoneticPr fontId="35" type="noConversion"/>
  </si>
  <si>
    <t>지역-외곽</t>
    <phoneticPr fontId="35" type="noConversion"/>
  </si>
  <si>
    <t>합계</t>
    <phoneticPr fontId="35" type="noConversion"/>
  </si>
  <si>
    <t>goyang</t>
    <phoneticPr fontId="2" type="noConversion"/>
  </si>
  <si>
    <t>total</t>
  </si>
  <si>
    <t>total</t>
    <phoneticPr fontId="2" type="noConversion"/>
  </si>
  <si>
    <t>Trip Production ratio</t>
    <phoneticPr fontId="2" type="noConversion"/>
  </si>
  <si>
    <t>Trip Attraction ratio</t>
    <phoneticPr fontId="2" type="noConversion"/>
  </si>
  <si>
    <t>total</t>
    <phoneticPr fontId="2" type="noConversion"/>
  </si>
  <si>
    <t>통행분포</t>
    <phoneticPr fontId="2" type="noConversion"/>
  </si>
  <si>
    <t>지역-서울</t>
  </si>
  <si>
    <t>지역-경기</t>
  </si>
  <si>
    <t>지역-인천</t>
  </si>
  <si>
    <t>지역-외곽</t>
  </si>
  <si>
    <t>지역내</t>
  </si>
  <si>
    <t>Trip Prodcution</t>
    <phoneticPr fontId="2" type="noConversion"/>
  </si>
  <si>
    <t>Trip Attration</t>
    <phoneticPr fontId="2" type="noConversion"/>
  </si>
  <si>
    <t>지역-경기</t>
    <phoneticPr fontId="2" type="noConversion"/>
  </si>
  <si>
    <t>Modal Split</t>
    <phoneticPr fontId="2" type="noConversion"/>
  </si>
  <si>
    <t>도보</t>
  </si>
  <si>
    <t>화물차</t>
  </si>
  <si>
    <t>자전거</t>
  </si>
  <si>
    <t>시내버스</t>
  </si>
  <si>
    <t>광역버스</t>
  </si>
  <si>
    <t>마을버스</t>
  </si>
  <si>
    <t>시외/고속버스</t>
  </si>
  <si>
    <t>기타버스</t>
  </si>
  <si>
    <t>지하철/전철</t>
  </si>
  <si>
    <t>주차장(근린생활시설)</t>
  </si>
  <si>
    <t>수단선택</t>
    <phoneticPr fontId="2" type="noConversion"/>
  </si>
  <si>
    <t>판매시설</t>
    <phoneticPr fontId="2" type="noConversion"/>
  </si>
  <si>
    <t>복합판매시설</t>
    <phoneticPr fontId="2" type="noConversion"/>
  </si>
  <si>
    <t>복합판매시설</t>
    <phoneticPr fontId="2" type="noConversion"/>
  </si>
  <si>
    <t>복합근린생활시설</t>
    <phoneticPr fontId="2" type="noConversion"/>
  </si>
  <si>
    <t>검토중!!!</t>
    <phoneticPr fontId="2" type="noConversion"/>
  </si>
  <si>
    <t>전철/철도</t>
  </si>
  <si>
    <t>복합판매시설</t>
  </si>
  <si>
    <t>복합근린생활시설</t>
  </si>
  <si>
    <t>복합</t>
    <phoneticPr fontId="2" type="noConversion"/>
  </si>
  <si>
    <t>재차인원적용</t>
    <phoneticPr fontId="2" type="noConversion"/>
  </si>
  <si>
    <t>경</t>
  </si>
  <si>
    <t>기</t>
  </si>
  <si>
    <t>도</t>
  </si>
  <si>
    <t>수시</t>
  </si>
  <si>
    <t>성남시</t>
  </si>
  <si>
    <t>의정부시</t>
  </si>
  <si>
    <t>안양시</t>
  </si>
  <si>
    <t>부천시</t>
  </si>
  <si>
    <t>광명시</t>
  </si>
  <si>
    <t>평택시</t>
  </si>
  <si>
    <t>동두천시</t>
  </si>
  <si>
    <t>안산시</t>
  </si>
  <si>
    <t>고양시</t>
  </si>
  <si>
    <t>과천시</t>
  </si>
  <si>
    <t>구리시</t>
  </si>
  <si>
    <t>남양주시</t>
  </si>
  <si>
    <t>오산시</t>
  </si>
  <si>
    <t>시흥시</t>
  </si>
  <si>
    <t>군포시</t>
  </si>
  <si>
    <t>의왕시</t>
  </si>
  <si>
    <t>하남시</t>
  </si>
  <si>
    <t>용인시</t>
  </si>
  <si>
    <t>파주시</t>
  </si>
  <si>
    <t>이천시</t>
  </si>
  <si>
    <t>안성시</t>
  </si>
  <si>
    <t>김포시</t>
  </si>
  <si>
    <t>화성시</t>
  </si>
  <si>
    <t>광주시</t>
  </si>
  <si>
    <t>양주시</t>
  </si>
  <si>
    <t>포천시</t>
  </si>
  <si>
    <t>여주군</t>
  </si>
  <si>
    <t>연천군</t>
  </si>
  <si>
    <t>가평군</t>
  </si>
  <si>
    <t>양평군</t>
  </si>
  <si>
    <t>출발 권역구분</t>
  </si>
  <si>
    <t>도착지 구분</t>
  </si>
  <si>
    <t>서울</t>
  </si>
  <si>
    <t>인천</t>
  </si>
  <si>
    <t>경기</t>
  </si>
  <si>
    <t>수도권외</t>
  </si>
  <si>
    <t>권역내부</t>
  </si>
  <si>
    <t>승용차 재차인원</t>
    <phoneticPr fontId="2" type="noConversion"/>
  </si>
  <si>
    <t>경기도</t>
  </si>
  <si>
    <t>비노선버스</t>
  </si>
  <si>
    <t>서울특별시</t>
  </si>
  <si>
    <t>부산광역시</t>
  </si>
  <si>
    <t>대구광역시</t>
  </si>
  <si>
    <t>인천광역시</t>
  </si>
  <si>
    <t>광주광역시</t>
  </si>
  <si>
    <t>대전광역시</t>
  </si>
  <si>
    <t>울산광역시</t>
  </si>
  <si>
    <t>강원도</t>
  </si>
  <si>
    <t>충청북도</t>
  </si>
  <si>
    <t>충청남도</t>
  </si>
  <si>
    <t>전라북도</t>
  </si>
  <si>
    <t>전라남도</t>
  </si>
  <si>
    <t>경상북도</t>
  </si>
  <si>
    <t>경상남도</t>
  </si>
  <si>
    <t>제주특별자치도</t>
  </si>
  <si>
    <t>버스/택시 재차인원</t>
    <phoneticPr fontId="2" type="noConversion"/>
  </si>
  <si>
    <t>지역내</t>
    <phoneticPr fontId="2" type="noConversion"/>
  </si>
  <si>
    <t>지역-서울</t>
    <phoneticPr fontId="2" type="noConversion"/>
  </si>
  <si>
    <t>지역-서울</t>
    <phoneticPr fontId="2" type="noConversion"/>
  </si>
  <si>
    <t>지역-인천</t>
    <phoneticPr fontId="2" type="noConversion"/>
  </si>
  <si>
    <t>지역-경기</t>
    <phoneticPr fontId="2" type="noConversion"/>
  </si>
  <si>
    <t>지역-외곽</t>
    <phoneticPr fontId="2" type="noConversion"/>
  </si>
  <si>
    <t>지역내</t>
    <phoneticPr fontId="2" type="noConversion"/>
  </si>
  <si>
    <t>대</t>
    <phoneticPr fontId="2" type="noConversion"/>
  </si>
  <si>
    <t>2020년_수도권OD및네트워크설명자료</t>
    <phoneticPr fontId="2" type="noConversion"/>
  </si>
  <si>
    <t>용도시설별 면적비율</t>
  </si>
  <si>
    <t>용도시설별 면적비율</t>
    <phoneticPr fontId="2" type="noConversion"/>
  </si>
  <si>
    <t>용도시설</t>
  </si>
  <si>
    <t>ID</t>
  </si>
  <si>
    <t>면적</t>
  </si>
  <si>
    <t>A1</t>
  </si>
  <si>
    <t>B1</t>
  </si>
  <si>
    <t>C1</t>
  </si>
  <si>
    <t>D1</t>
  </si>
  <si>
    <t>D2</t>
  </si>
  <si>
    <t>D3</t>
  </si>
  <si>
    <t>D4</t>
  </si>
  <si>
    <t>D5</t>
  </si>
  <si>
    <t>E1</t>
  </si>
  <si>
    <t>E2</t>
  </si>
  <si>
    <t>F1</t>
  </si>
  <si>
    <t>복합지원</t>
  </si>
  <si>
    <t>G1</t>
  </si>
  <si>
    <t>G2</t>
  </si>
  <si>
    <t>G3</t>
  </si>
  <si>
    <t>H1</t>
  </si>
  <si>
    <t>H2</t>
  </si>
  <si>
    <t>I1</t>
  </si>
  <si>
    <t>승용차+택시</t>
    <phoneticPr fontId="2" type="noConversion"/>
  </si>
  <si>
    <t>승용차+택시</t>
    <phoneticPr fontId="2" type="noConversion"/>
  </si>
  <si>
    <t>비노선버스</t>
    <phoneticPr fontId="2" type="noConversion"/>
  </si>
  <si>
    <t>요약</t>
    <phoneticPr fontId="2" type="noConversion"/>
  </si>
  <si>
    <t>단독주택</t>
    <phoneticPr fontId="2" type="noConversion"/>
  </si>
  <si>
    <t>근린생활시설</t>
    <phoneticPr fontId="2" type="noConversion"/>
  </si>
  <si>
    <t>판매시설</t>
    <phoneticPr fontId="2" type="noConversion"/>
  </si>
  <si>
    <t>연구시설</t>
    <phoneticPr fontId="2" type="noConversion"/>
  </si>
  <si>
    <t>첨단제조시설</t>
    <phoneticPr fontId="2" type="noConversion"/>
  </si>
  <si>
    <t>지식기반시설</t>
    <phoneticPr fontId="2" type="noConversion"/>
  </si>
  <si>
    <t>지원시설</t>
    <phoneticPr fontId="2" type="noConversion"/>
  </si>
  <si>
    <t>복합지원</t>
    <phoneticPr fontId="2" type="noConversion"/>
  </si>
  <si>
    <t>존 번호</t>
    <phoneticPr fontId="2" type="noConversion"/>
  </si>
  <si>
    <t>존 번호</t>
    <phoneticPr fontId="2" type="noConversion"/>
  </si>
  <si>
    <t>대/일</t>
    <phoneticPr fontId="2" type="noConversion"/>
  </si>
  <si>
    <t>대/일</t>
    <phoneticPr fontId="2" type="noConversion"/>
  </si>
  <si>
    <t>순유입인구비율</t>
    <phoneticPr fontId="2" type="noConversion"/>
  </si>
  <si>
    <t>도시개발사업</t>
    <phoneticPr fontId="2" type="noConversion"/>
  </si>
  <si>
    <t>소수점차이 인듯</t>
    <phoneticPr fontId="2" type="noConversion"/>
  </si>
  <si>
    <t>비노선버스</t>
    <phoneticPr fontId="2" type="noConversion"/>
  </si>
  <si>
    <t>주상복합</t>
  </si>
  <si>
    <t>M1</t>
  </si>
  <si>
    <t>M2</t>
  </si>
  <si>
    <t>M3</t>
  </si>
  <si>
    <t>M4</t>
  </si>
  <si>
    <t>A2</t>
  </si>
  <si>
    <t>근린생활시설</t>
    <phoneticPr fontId="2" type="noConversion"/>
  </si>
  <si>
    <t>상업시설</t>
    <phoneticPr fontId="2" type="noConversion"/>
  </si>
  <si>
    <t>방송시설</t>
    <phoneticPr fontId="2" type="noConversion"/>
  </si>
  <si>
    <t>도시지원시설</t>
    <phoneticPr fontId="2" type="noConversion"/>
  </si>
  <si>
    <t>일반업무시설</t>
    <phoneticPr fontId="2" type="noConversion"/>
  </si>
  <si>
    <t>공공업무시설</t>
    <phoneticPr fontId="2" type="noConversion"/>
  </si>
  <si>
    <t>학교시설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</si>
  <si>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</si>
  <si>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</si>
  <si>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</si>
  <si>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</si>
  <si>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주상복합( 상업포함)</t>
  </si>
  <si>
    <t>주상복합( 상업포함)</t>
    <phoneticPr fontId="2" type="noConversion"/>
  </si>
  <si>
    <t>지역-경기</t>
    <phoneticPr fontId="2" type="noConversion"/>
  </si>
  <si>
    <t>Modal Split</t>
    <phoneticPr fontId="2" type="noConversion"/>
  </si>
  <si>
    <t>재차인원적용</t>
    <phoneticPr fontId="2" type="noConversion"/>
  </si>
  <si>
    <t>통행분포</t>
    <phoneticPr fontId="2" type="noConversion"/>
  </si>
  <si>
    <t>수단선택</t>
    <phoneticPr fontId="2" type="noConversion"/>
  </si>
  <si>
    <t>지역-서울</t>
    <phoneticPr fontId="2" type="noConversion"/>
  </si>
  <si>
    <t>지역내</t>
    <phoneticPr fontId="2" type="noConversion"/>
  </si>
  <si>
    <t>요약</t>
    <phoneticPr fontId="2" type="noConversion"/>
  </si>
  <si>
    <t>대/일</t>
    <phoneticPr fontId="2" type="noConversion"/>
  </si>
  <si>
    <t>비노선버스</t>
    <phoneticPr fontId="2" type="noConversion"/>
  </si>
  <si>
    <t>승용차+택시</t>
    <phoneticPr fontId="2" type="noConversion"/>
  </si>
  <si>
    <t>존 번호</t>
    <phoneticPr fontId="2" type="noConversion"/>
  </si>
  <si>
    <t>주상복합( 상업포함)</t>
    <phoneticPr fontId="2" type="noConversion"/>
  </si>
  <si>
    <t>M1</t>
    <phoneticPr fontId="2" type="noConversion"/>
  </si>
  <si>
    <t>M2</t>
    <phoneticPr fontId="2" type="noConversion"/>
  </si>
  <si>
    <t>M3</t>
    <phoneticPr fontId="2" type="noConversion"/>
  </si>
  <si>
    <t>M4</t>
    <phoneticPr fontId="2" type="noConversion"/>
  </si>
  <si>
    <t>Trip Attraction</t>
    <phoneticPr fontId="2" type="noConversion"/>
  </si>
  <si>
    <t>A1</t>
    <phoneticPr fontId="2" type="noConversion"/>
  </si>
  <si>
    <t>단독주택</t>
    <phoneticPr fontId="2" type="noConversion"/>
  </si>
  <si>
    <t>아파트 60 이하</t>
    <phoneticPr fontId="2" type="noConversion"/>
  </si>
  <si>
    <t>근린생활시설</t>
    <phoneticPr fontId="2" type="noConversion"/>
  </si>
  <si>
    <t>상업업무시설</t>
    <phoneticPr fontId="2" type="noConversion"/>
  </si>
  <si>
    <t>상업업무시설</t>
    <phoneticPr fontId="2" type="noConversion"/>
  </si>
  <si>
    <t>G2</t>
    <phoneticPr fontId="2" type="noConversion"/>
  </si>
  <si>
    <t>종교시설</t>
    <phoneticPr fontId="2" type="noConversion"/>
  </si>
  <si>
    <t>I1</t>
    <phoneticPr fontId="2" type="noConversion"/>
  </si>
  <si>
    <t>K1</t>
    <phoneticPr fontId="2" type="noConversion"/>
  </si>
  <si>
    <t>도시지원시설</t>
    <phoneticPr fontId="2" type="noConversion"/>
  </si>
  <si>
    <t>아파트 60-85</t>
    <phoneticPr fontId="2" type="noConversion"/>
  </si>
  <si>
    <t>근린생활시설</t>
    <phoneticPr fontId="2" type="noConversion"/>
  </si>
  <si>
    <t>교육시설</t>
    <phoneticPr fontId="2" type="noConversion"/>
  </si>
  <si>
    <t>단독주택</t>
    <phoneticPr fontId="2" type="noConversion"/>
  </si>
  <si>
    <t>아파트 60 이하</t>
    <phoneticPr fontId="2" type="noConversion"/>
  </si>
  <si>
    <t>아파트 60-85</t>
    <phoneticPr fontId="2" type="noConversion"/>
  </si>
  <si>
    <t>E2</t>
    <phoneticPr fontId="2" type="noConversion"/>
  </si>
  <si>
    <t>F1</t>
    <phoneticPr fontId="2" type="noConversion"/>
  </si>
  <si>
    <t>공공청사</t>
    <phoneticPr fontId="2" type="noConversion"/>
  </si>
  <si>
    <t>복합커뮤니티시설</t>
    <phoneticPr fontId="2" type="noConversion"/>
  </si>
  <si>
    <t>기준년도로 변경해야함!!</t>
    <phoneticPr fontId="2" type="noConversion"/>
  </si>
  <si>
    <t>&lt; 표 3- &gt; 장래 통행목적별 통행발생량 예측결과 (유입 + 유출)</t>
    <phoneticPr fontId="2" type="noConversion"/>
  </si>
  <si>
    <t>(통행/일)</t>
    <phoneticPr fontId="2" type="noConversion"/>
  </si>
  <si>
    <t>유출 or 유입</t>
    <phoneticPr fontId="2" type="noConversion"/>
  </si>
  <si>
    <t>아파트 60 이하</t>
  </si>
  <si>
    <t>아파트 60 이하 
+ 아파트 60-85</t>
    <phoneticPr fontId="2" type="noConversion"/>
  </si>
  <si>
    <t>아파트 60-85</t>
  </si>
  <si>
    <t>주상복합 60-85
+ 85 초과</t>
  </si>
  <si>
    <t>주상복합 60-85</t>
  </si>
  <si>
    <t>주상복합 60-85
+ 85 초과</t>
    <phoneticPr fontId="2" type="noConversion"/>
  </si>
  <si>
    <t>주상복합 85 초과</t>
  </si>
  <si>
    <t>주상복합 85 초과</t>
    <phoneticPr fontId="2" type="noConversion"/>
  </si>
  <si>
    <t>복합커뮤니티시설</t>
    <phoneticPr fontId="2" type="noConversion"/>
  </si>
  <si>
    <t>총 계</t>
    <phoneticPr fontId="2" type="noConversion"/>
  </si>
  <si>
    <t>총 계</t>
    <phoneticPr fontId="2" type="noConversion"/>
  </si>
  <si>
    <t>지역-외곽</t>
    <phoneticPr fontId="2" type="noConversion"/>
  </si>
  <si>
    <t>J1</t>
  </si>
  <si>
    <t>K1</t>
  </si>
  <si>
    <t>아파트 60 이하</t>
    <phoneticPr fontId="2" type="noConversion"/>
  </si>
  <si>
    <t>B6</t>
    <phoneticPr fontId="2" type="noConversion"/>
  </si>
  <si>
    <r>
      <t>2024</t>
    </r>
    <r>
      <rPr>
        <sz val="10"/>
        <color rgb="FF000000"/>
        <rFont val="HY신명조"/>
        <family val="3"/>
        <charset val="129"/>
      </rPr>
      <t>년</t>
    </r>
  </si>
  <si>
    <r>
      <t>2028</t>
    </r>
    <r>
      <rPr>
        <sz val="10"/>
        <color rgb="FF000000"/>
        <rFont val="HY신명조"/>
        <family val="3"/>
        <charset val="129"/>
      </rPr>
      <t>년</t>
    </r>
  </si>
  <si>
    <t>pp-168</t>
    <phoneticPr fontId="2" type="noConversion"/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</si>
  <si>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</si>
  <si>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2024</t>
    </r>
    <r>
      <rPr>
        <b/>
        <sz val="9"/>
        <color rgb="FF000000"/>
        <rFont val="08서울남산체 B"/>
        <family val="3"/>
        <charset val="129"/>
      </rPr>
      <t>년 총 통행량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통행</t>
    </r>
    <r>
      <rPr>
        <b/>
        <sz val="9"/>
        <color rgb="FF000000"/>
        <rFont val="맑은 고딕"/>
        <family val="3"/>
        <charset val="129"/>
        <scheme val="minor"/>
      </rPr>
      <t>/</t>
    </r>
    <r>
      <rPr>
        <b/>
        <sz val="9"/>
        <color rgb="FF000000"/>
        <rFont val="08서울남산체 B"/>
        <family val="3"/>
        <charset val="129"/>
      </rPr>
      <t>일</t>
    </r>
    <r>
      <rPr>
        <b/>
        <sz val="9"/>
        <color rgb="FF000000"/>
        <rFont val="맑은 고딕"/>
        <family val="3"/>
        <charset val="129"/>
        <scheme val="minor"/>
      </rPr>
      <t xml:space="preserve">) 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</si>
  <si>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방송통신시설</t>
    </r>
    <r>
      <rPr>
        <sz val="9"/>
        <color rgb="FF000000"/>
        <rFont val="맑은 고딕"/>
        <family val="3"/>
        <charset val="129"/>
        <scheme val="minor"/>
      </rPr>
      <t>)</t>
    </r>
  </si>
  <si>
    <r>
      <t>위락시설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테마파크</t>
    </r>
    <r>
      <rPr>
        <sz val="9"/>
        <color rgb="FF000000"/>
        <rFont val="맑은 고딕"/>
        <family val="3"/>
        <charset val="129"/>
        <scheme val="minor"/>
      </rPr>
      <t>)</t>
    </r>
  </si>
  <si>
    <r>
      <t>객석수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석</t>
    </r>
    <r>
      <rPr>
        <b/>
        <sz val="9"/>
        <color rgb="FF000000"/>
        <rFont val="맑은 고딕"/>
        <family val="3"/>
        <charset val="129"/>
        <scheme val="minor"/>
      </rPr>
      <t>)</t>
    </r>
  </si>
  <si>
    <r>
      <t>연면적</t>
    </r>
    <r>
      <rPr>
        <b/>
        <sz val="9"/>
        <color rgb="FF000000"/>
        <rFont val="맑은 고딕"/>
        <family val="3"/>
        <charset val="129"/>
        <scheme val="minor"/>
      </rPr>
      <t>(</t>
    </r>
    <r>
      <rPr>
        <b/>
        <sz val="9"/>
        <color rgb="FF000000"/>
        <rFont val="08서울남산체 B"/>
        <family val="3"/>
        <charset val="129"/>
      </rPr>
      <t>㎡</t>
    </r>
    <r>
      <rPr>
        <b/>
        <sz val="9"/>
        <color rgb="FF000000"/>
        <rFont val="맑은 고딕"/>
        <family val="3"/>
        <charset val="129"/>
        <scheme val="minor"/>
      </rPr>
      <t>),</t>
    </r>
  </si>
  <si>
    <r>
      <t>방송시설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스튜디오</t>
    </r>
    <r>
      <rPr>
        <sz val="9"/>
        <color rgb="FF000000"/>
        <rFont val="맑은 고딕"/>
        <family val="3"/>
        <charset val="129"/>
        <scheme val="minor"/>
      </rPr>
      <t>)</t>
    </r>
  </si>
  <si>
    <t xml:space="preserve">판매시설 </t>
  </si>
  <si>
    <r>
      <t>문화 및 집회시설</t>
    </r>
    <r>
      <rPr>
        <sz val="9"/>
        <color rgb="FF000000"/>
        <rFont val="맑은 고딕"/>
        <family val="3"/>
        <charset val="129"/>
        <scheme val="minor"/>
      </rPr>
      <t>(</t>
    </r>
    <r>
      <rPr>
        <sz val="9"/>
        <color rgb="FF000000"/>
        <rFont val="08서울남산체 B"/>
        <family val="3"/>
        <charset val="129"/>
      </rPr>
      <t>아레나</t>
    </r>
    <r>
      <rPr>
        <sz val="9"/>
        <color rgb="FF000000"/>
        <rFont val="맑은 고딕"/>
        <family val="3"/>
        <charset val="129"/>
        <scheme val="minor"/>
      </rPr>
      <t>)</t>
    </r>
  </si>
  <si>
    <r>
      <t xml:space="preserve">T2 </t>
    </r>
    <r>
      <rPr>
        <b/>
        <sz val="9"/>
        <color rgb="FF000000"/>
        <rFont val="08서울남산체 B"/>
        <family val="3"/>
        <charset val="129"/>
      </rPr>
      <t>합계</t>
    </r>
  </si>
  <si>
    <t xml:space="preserve">&lt;표 5-3-15&gt; 사업지 1일 총 활동인구 예측(T1부지)
</t>
    <phoneticPr fontId="2" type="noConversion"/>
  </si>
  <si>
    <t>&lt;표 5-3-21&gt; 장래 목표연도 1일 총 통행량 예측(T2부지 전체)</t>
    <phoneticPr fontId="2" type="noConversion"/>
  </si>
  <si>
    <t>구 분(평일)</t>
  </si>
  <si>
    <t>구 분(평일)</t>
    <phoneticPr fontId="2" type="noConversion"/>
  </si>
  <si>
    <t>T1</t>
  </si>
  <si>
    <t>T1</t>
    <phoneticPr fontId="2" type="noConversion"/>
  </si>
  <si>
    <t>T2</t>
  </si>
  <si>
    <t>T2</t>
    <phoneticPr fontId="2" type="noConversion"/>
  </si>
  <si>
    <t>구 분 (평일)</t>
  </si>
  <si>
    <t>구 분 (평일)</t>
    <phoneticPr fontId="2" type="noConversion"/>
  </si>
  <si>
    <t>방송시설(방송통신시설)</t>
  </si>
  <si>
    <t>위락시설(테마파크)</t>
  </si>
  <si>
    <t>방송시설(스튜디오)</t>
  </si>
  <si>
    <t>문화 및 집회시설(아레나)</t>
  </si>
  <si>
    <t>T1방송시설(방송통신시설)</t>
  </si>
  <si>
    <t>T1방송시설(방송통신시설)</t>
    <phoneticPr fontId="2" type="noConversion"/>
  </si>
  <si>
    <t>T1판매시설</t>
  </si>
  <si>
    <t>T1판매시설</t>
    <phoneticPr fontId="2" type="noConversion"/>
  </si>
  <si>
    <t>T1위락시설(테마파크)</t>
  </si>
  <si>
    <t>T1위락시설(테마파크)</t>
    <phoneticPr fontId="2" type="noConversion"/>
  </si>
  <si>
    <t xml:space="preserve">T2판매시설 </t>
  </si>
  <si>
    <t xml:space="preserve">T2판매시설 </t>
    <phoneticPr fontId="2" type="noConversion"/>
  </si>
  <si>
    <t>T2방송시설(스튜디오)</t>
  </si>
  <si>
    <t>T2방송시설(스튜디오)</t>
    <phoneticPr fontId="2" type="noConversion"/>
  </si>
  <si>
    <t>T2위락시설(테마파크)</t>
  </si>
  <si>
    <t>T2위락시설(테마파크)</t>
    <phoneticPr fontId="2" type="noConversion"/>
  </si>
  <si>
    <t>T2문화 및 집회시설(아레나)</t>
  </si>
  <si>
    <t>T2문화 및 집회시설(아레나)</t>
    <phoneticPr fontId="2" type="noConversion"/>
  </si>
  <si>
    <t>연면적(㎡)</t>
  </si>
  <si>
    <t xml:space="preserve">2024년 총 통행량(통행/일) </t>
  </si>
  <si>
    <t>연면적(㎡),</t>
  </si>
  <si>
    <t>객석수(석)</t>
  </si>
  <si>
    <t>존</t>
    <phoneticPr fontId="2" type="noConversion"/>
  </si>
  <si>
    <t>Z:\02_Completed_Works\2021W12-킨텍스교차로개선사업-211026\2021W12-99-Reference\관련_계획\2017.고양 관광문화단지 조성사업 교통영향평가(4차 변경신고)(하이이앤씨)</t>
    <phoneticPr fontId="2" type="noConversion"/>
  </si>
  <si>
    <t>승용차</t>
    <phoneticPr fontId="2" type="noConversion"/>
  </si>
  <si>
    <t>유출</t>
    <phoneticPr fontId="2" type="noConversion"/>
  </si>
  <si>
    <t>택시</t>
    <phoneticPr fontId="2" type="noConversion"/>
  </si>
  <si>
    <t>유입</t>
    <phoneticPr fontId="2" type="noConversion"/>
  </si>
  <si>
    <t>유출</t>
    <phoneticPr fontId="2" type="noConversion"/>
  </si>
  <si>
    <t>지하철</t>
    <phoneticPr fontId="2" type="noConversion"/>
  </si>
  <si>
    <t>도보기타</t>
    <phoneticPr fontId="2" type="noConversion"/>
  </si>
  <si>
    <t>유입</t>
    <phoneticPr fontId="2" type="noConversion"/>
  </si>
  <si>
    <t>합계</t>
    <phoneticPr fontId="2" type="noConversion"/>
  </si>
  <si>
    <t>유출</t>
    <phoneticPr fontId="2" type="noConversion"/>
  </si>
  <si>
    <t>버스</t>
    <phoneticPr fontId="2" type="noConversion"/>
  </si>
  <si>
    <t>2015년</t>
    <phoneticPr fontId="2" type="noConversion"/>
  </si>
  <si>
    <t>2020년</t>
    <phoneticPr fontId="2" type="noConversion"/>
  </si>
  <si>
    <t>관광문화</t>
  </si>
  <si>
    <t>관광문화</t>
    <phoneticPr fontId="2" type="noConversion"/>
  </si>
  <si>
    <t>순유입인구비율적용</t>
    <phoneticPr fontId="2" type="noConversion"/>
  </si>
  <si>
    <t>pp-81 ~ 84</t>
    <phoneticPr fontId="2" type="noConversion"/>
  </si>
  <si>
    <t>대/일</t>
    <phoneticPr fontId="2" type="noConversion"/>
  </si>
  <si>
    <t>차종구분</t>
  </si>
  <si>
    <t>평균적재능력</t>
  </si>
  <si>
    <r>
      <t>(</t>
    </r>
    <r>
      <rPr>
        <b/>
        <sz val="10"/>
        <color rgb="FF000000"/>
        <rFont val="휴먼고딕"/>
        <charset val="129"/>
      </rPr>
      <t>톤</t>
    </r>
    <r>
      <rPr>
        <b/>
        <sz val="10"/>
        <color rgb="FF000000"/>
        <rFont val="맑은 고딕"/>
        <family val="3"/>
        <charset val="129"/>
        <scheme val="minor"/>
      </rPr>
      <t>/</t>
    </r>
    <r>
      <rPr>
        <b/>
        <sz val="10"/>
        <color rgb="FF000000"/>
        <rFont val="휴먼고딕"/>
        <charset val="129"/>
      </rPr>
      <t>대</t>
    </r>
    <r>
      <rPr>
        <b/>
        <sz val="10"/>
        <color rgb="FF000000"/>
        <rFont val="맑은 고딕"/>
        <family val="3"/>
        <charset val="129"/>
        <scheme val="minor"/>
      </rPr>
      <t>)</t>
    </r>
  </si>
  <si>
    <t>공차운행율</t>
  </si>
  <si>
    <t>(%)</t>
  </si>
  <si>
    <t>평균적재율</t>
  </si>
  <si>
    <r>
      <t xml:space="preserve">수송분담율 </t>
    </r>
    <r>
      <rPr>
        <b/>
        <sz val="10"/>
        <color rgb="FF000000"/>
        <rFont val="맑은 고딕"/>
        <family val="3"/>
        <charset val="129"/>
        <scheme val="minor"/>
      </rPr>
      <t>(%)</t>
    </r>
  </si>
  <si>
    <r>
      <t>1.0</t>
    </r>
    <r>
      <rPr>
        <sz val="10"/>
        <color rgb="FF000000"/>
        <rFont val="휴먼고딕"/>
        <charset val="129"/>
      </rPr>
      <t>톤 미만</t>
    </r>
  </si>
  <si>
    <t>중형</t>
  </si>
  <si>
    <r>
      <t>1.0</t>
    </r>
    <r>
      <rPr>
        <sz val="10"/>
        <color rgb="FF000000"/>
        <rFont val="휴먼고딕"/>
        <charset val="129"/>
      </rPr>
      <t>톤 이상〜</t>
    </r>
  </si>
  <si>
    <r>
      <t>8.0</t>
    </r>
    <r>
      <rPr>
        <sz val="10"/>
        <color rgb="FF000000"/>
        <rFont val="휴먼고딕"/>
        <charset val="129"/>
      </rPr>
      <t>톤 미만</t>
    </r>
  </si>
  <si>
    <r>
      <t>8.0</t>
    </r>
    <r>
      <rPr>
        <sz val="10"/>
        <color rgb="FF000000"/>
        <rFont val="휴먼고딕"/>
        <charset val="129"/>
      </rPr>
      <t>톤이상</t>
    </r>
    <r>
      <rPr>
        <sz val="10"/>
        <color rgb="FF000000"/>
        <rFont val="맑은 고딕"/>
        <family val="3"/>
        <charset val="129"/>
        <scheme val="minor"/>
      </rPr>
      <t xml:space="preserve">, </t>
    </r>
    <r>
      <rPr>
        <sz val="10"/>
        <color rgb="FF000000"/>
        <rFont val="휴먼고딕"/>
        <charset val="129"/>
      </rPr>
      <t>세미트레일러 및 트레일러</t>
    </r>
  </si>
  <si>
    <t>자료 : 1) 수송분담율은 현장조사치임
       2)「교통영향평가 지침, 2016.1.25. 국토해양부」제10조(교통영향분석 지표) 제3항 제2호, 3호에 의하여 산정하였음</t>
    <phoneticPr fontId="2" type="noConversion"/>
  </si>
  <si>
    <t xml:space="preserve">■ 차종별 화물수송 비율
</t>
    <phoneticPr fontId="2" type="noConversion"/>
  </si>
  <si>
    <t>pp-82</t>
    <phoneticPr fontId="2" type="noConversion"/>
  </si>
  <si>
    <t>계획인구 규모</t>
    <phoneticPr fontId="2" type="noConversion"/>
  </si>
  <si>
    <t>최초입주년도</t>
    <phoneticPr fontId="2" type="noConversion"/>
  </si>
  <si>
    <t>1년후</t>
    <phoneticPr fontId="2" type="noConversion"/>
  </si>
  <si>
    <t>2년후</t>
    <phoneticPr fontId="2" type="noConversion"/>
  </si>
  <si>
    <t>3년후</t>
    <phoneticPr fontId="2" type="noConversion"/>
  </si>
  <si>
    <t>4년후</t>
    <phoneticPr fontId="2" type="noConversion"/>
  </si>
  <si>
    <t>10만명초과</t>
    <phoneticPr fontId="2" type="noConversion"/>
  </si>
  <si>
    <t>5만명초과~10만명이하</t>
    <phoneticPr fontId="2" type="noConversion"/>
  </si>
  <si>
    <t>5만명이하</t>
    <phoneticPr fontId="2" type="noConversion"/>
  </si>
  <si>
    <t>교통부문 예바타당성조사 쟁점 연구, 2013, p-213</t>
    <phoneticPr fontId="2" type="noConversion"/>
  </si>
  <si>
    <t>택지 및 산업단지 장래 개발계획 반영시 고려사항, pp-4</t>
    <phoneticPr fontId="2" type="noConversion"/>
  </si>
  <si>
    <t>과업 상근인구 수</t>
    <phoneticPr fontId="2" type="noConversion"/>
  </si>
  <si>
    <t>과업 완료 시점</t>
    <phoneticPr fontId="2" type="noConversion"/>
  </si>
  <si>
    <t>&lt;표 3&gt; 계획인구 규모에 따른 계획인구 반영 비율 적용 기준</t>
    <phoneticPr fontId="2" type="noConversion"/>
  </si>
  <si>
    <t>공가율 적용 기준</t>
    <phoneticPr fontId="2" type="noConversion"/>
  </si>
  <si>
    <t>총 계</t>
    <phoneticPr fontId="2" type="noConversion"/>
  </si>
  <si>
    <t>pp-131</t>
    <phoneticPr fontId="2" type="noConversion"/>
  </si>
  <si>
    <t>제3장-사업지구 및 주변지역의 장래 교통수요.hwp</t>
    <phoneticPr fontId="2" type="noConversion"/>
  </si>
  <si>
    <t>과업 상주+상근 인구 수</t>
    <phoneticPr fontId="2" type="noConversion"/>
  </si>
  <si>
    <t>5년후</t>
  </si>
  <si>
    <t>6년후</t>
  </si>
  <si>
    <t>7년후</t>
  </si>
  <si>
    <t>8년후</t>
  </si>
  <si>
    <t>9년후</t>
  </si>
  <si>
    <t>10년후</t>
  </si>
  <si>
    <t>11년후</t>
  </si>
  <si>
    <t>12년후</t>
  </si>
  <si>
    <t>13년후</t>
  </si>
  <si>
    <t>14년후</t>
  </si>
  <si>
    <t>15년후</t>
  </si>
  <si>
    <t>16년후</t>
  </si>
  <si>
    <t>17년후</t>
  </si>
  <si>
    <t>18년후</t>
  </si>
  <si>
    <t>19년후</t>
  </si>
  <si>
    <t>20년후</t>
  </si>
  <si>
    <t>21년후</t>
  </si>
  <si>
    <t>22년후</t>
  </si>
  <si>
    <t>23년후</t>
  </si>
  <si>
    <t>24년후</t>
  </si>
  <si>
    <t>25년후</t>
  </si>
  <si>
    <t>26년후</t>
  </si>
  <si>
    <t>27년후</t>
  </si>
  <si>
    <t>28년후</t>
  </si>
  <si>
    <t>29년후</t>
  </si>
  <si>
    <t>30년후</t>
  </si>
  <si>
    <t>31년후</t>
  </si>
  <si>
    <t>32년후</t>
  </si>
  <si>
    <t>33년후</t>
  </si>
  <si>
    <t>34년후</t>
  </si>
  <si>
    <t>35년후</t>
  </si>
  <si>
    <t>36년후</t>
  </si>
  <si>
    <t>37년후</t>
  </si>
  <si>
    <t>38년후</t>
  </si>
  <si>
    <t>39년후</t>
  </si>
  <si>
    <t>40년후</t>
  </si>
  <si>
    <t>F1</t>
    <phoneticPr fontId="2" type="noConversion"/>
  </si>
  <si>
    <t>첨단제조시설</t>
    <phoneticPr fontId="2" type="noConversion"/>
  </si>
  <si>
    <t>승용차+택시</t>
    <phoneticPr fontId="2" type="noConversion"/>
  </si>
  <si>
    <t>트럭</t>
    <phoneticPr fontId="2" type="noConversion"/>
  </si>
  <si>
    <t>Trip Production</t>
    <phoneticPr fontId="2" type="noConversion"/>
  </si>
  <si>
    <t>Trip Attraction</t>
    <phoneticPr fontId="2" type="noConversion"/>
  </si>
  <si>
    <t>가동률 적용</t>
    <phoneticPr fontId="2" type="noConversion"/>
  </si>
  <si>
    <t>2020년도 수도권 여객 기종점통행량(O/D) 현행화 공동사업, 경기연구원  pp-588</t>
    <phoneticPr fontId="2" type="noConversion"/>
  </si>
  <si>
    <t>택지 및 산업단지 장래 개발계획 반영시 고려사항, pp-6</t>
    <phoneticPr fontId="2" type="noConversion"/>
  </si>
  <si>
    <t>순유입인구비율 적용 (주거시설에 대해서만)</t>
    <phoneticPr fontId="2" type="noConversion"/>
  </si>
  <si>
    <t>FD_pccar_taxi-od_O</t>
  </si>
  <si>
    <t>FD_pccar_taxi-od_D</t>
    <phoneticPr fontId="2" type="noConversion"/>
  </si>
  <si>
    <t>FD_bus-od_O</t>
  </si>
  <si>
    <t>FD_bus-od_D</t>
    <phoneticPr fontId="2" type="noConversion"/>
  </si>
  <si>
    <t>FD-F_fod_zone_O</t>
  </si>
  <si>
    <t>FD-F_fod_zone_D</t>
    <phoneticPr fontId="2" type="noConversion"/>
  </si>
  <si>
    <t>20_25</t>
  </si>
  <si>
    <t>25_30</t>
  </si>
  <si>
    <t>30_35</t>
  </si>
  <si>
    <t>35_40</t>
  </si>
  <si>
    <t>40_45</t>
  </si>
  <si>
    <t>45_50</t>
  </si>
  <si>
    <t>production</t>
  </si>
  <si>
    <t>attraction</t>
  </si>
  <si>
    <t xml:space="preserve">파일경로 : </t>
    <phoneticPr fontId="2" type="noConversion"/>
  </si>
  <si>
    <t>OD_distribution-total.csv</t>
  </si>
  <si>
    <t>X:\00_TLSYSLAB_Mighty_Drive\2021W12-킨텍스교차로개선사업-211026\2021W12-04-분석\2021W12-04-04_존세분화_네트워크수정\2021W21-04-04-02_사업지구_존세분화</t>
  </si>
  <si>
    <t>Z:\02_Completed_Works\2021W12-킨텍스교차로개선사업-211026\2021W12-99-Reference\관련_계획\2021.고양 일산테크노밸리 도시개발사업 교통영향평가(케이지엔지니어링)</t>
    <phoneticPr fontId="2" type="noConversion"/>
  </si>
  <si>
    <t>04. 재심의 수정의결보완서-21.08.19</t>
  </si>
  <si>
    <t>Z:\02_Completed_Works\2021W12-킨텍스교차로개선사업-211026\2021W12-99-Reference\관련_계획\2021.경기고양 방송영상밸리 도시개발사업 교통영향평가(삼안)</t>
    <phoneticPr fontId="2" type="noConversion"/>
  </si>
  <si>
    <t>여객OD</t>
    <phoneticPr fontId="2" type="noConversion"/>
  </si>
  <si>
    <t>화물OD</t>
    <phoneticPr fontId="2" type="noConversion"/>
  </si>
  <si>
    <t>OD_distribution-total_truck.csv</t>
    <phoneticPr fontId="2" type="noConversion"/>
  </si>
  <si>
    <t>장래 년도에 바꿔야할 셀</t>
    <phoneticPr fontId="2" type="noConversion"/>
  </si>
  <si>
    <t>복합지원</t>
    <phoneticPr fontId="2" type="noConversion"/>
  </si>
  <si>
    <t>용도시설별 통행도착량</t>
    <phoneticPr fontId="2" type="noConversion"/>
  </si>
  <si>
    <t>용도시설별 통행발생량</t>
    <phoneticPr fontId="2" type="noConversion"/>
  </si>
  <si>
    <t>용도시설별 통행도착량</t>
    <phoneticPr fontId="2" type="noConversion"/>
  </si>
  <si>
    <t>트럭</t>
    <phoneticPr fontId="2" type="noConversion"/>
  </si>
  <si>
    <t>사업지구 용도시설별 통행발생량 (입주율 적용 + 공가율적용_화물OD 적용X)</t>
    <phoneticPr fontId="2" type="noConversion"/>
  </si>
  <si>
    <t>사업지구 용도시설별 통행도착량 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</si>
  <si>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</si>
  <si>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</si>
  <si>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사업지구 용도시설별 통행발생량(입주율 적용 + 공가율적용_화물OD 적용X)</t>
    <phoneticPr fontId="2" type="noConversion"/>
  </si>
  <si>
    <t>사업지구 용도시설별 통행도착량(입주율 적용 + 공가율적용_화물OD 적용X)</t>
    <phoneticPr fontId="2" type="noConversion"/>
  </si>
  <si>
    <t>2035 고양시 도시기본계획 pp-109</t>
    <phoneticPr fontId="2" type="noConversion"/>
  </si>
  <si>
    <t>X:\00_TLSYSLAB_Mighty_Drive\2021W12-킨텍스교차로개선사업-211026\2021W12-99-Reference\01 관련자료(lh)\★191230_교평변경심의_최종보고서\변경심의보고서(191108)</t>
    <phoneticPr fontId="2" type="noConversion"/>
  </si>
  <si>
    <t>트럭</t>
    <phoneticPr fontId="2" type="noConversion"/>
  </si>
  <si>
    <t>트럭</t>
    <phoneticPr fontId="2" type="noConversion"/>
  </si>
  <si>
    <t>트럭</t>
    <phoneticPr fontId="2" type="noConversion"/>
  </si>
  <si>
    <t>장항 1동 통행량 증가량</t>
    <phoneticPr fontId="35" type="noConversion"/>
  </si>
  <si>
    <t>OD_total_2025-zoneSep_pc_vpd-_4_to_6_final</t>
    <phoneticPr fontId="35" type="noConversion"/>
  </si>
  <si>
    <t>: 대 단위 장항 1동 통행량을 통해 계산하였음</t>
    <phoneticPr fontId="35" type="noConversion"/>
  </si>
  <si>
    <t>pccar_O</t>
    <phoneticPr fontId="35" type="noConversion"/>
  </si>
  <si>
    <t>pccar_D</t>
    <phoneticPr fontId="35" type="noConversion"/>
  </si>
  <si>
    <t>bus_O</t>
    <phoneticPr fontId="35" type="noConversion"/>
  </si>
  <si>
    <t>bus_D</t>
    <phoneticPr fontId="35" type="noConversion"/>
  </si>
  <si>
    <t>truck_O</t>
    <phoneticPr fontId="35" type="noConversion"/>
  </si>
  <si>
    <t>truck_D</t>
    <phoneticPr fontId="35" type="noConversion"/>
  </si>
  <si>
    <t>통행량증가율</t>
    <phoneticPr fontId="35" type="noConversion"/>
  </si>
  <si>
    <t>연평균증가량</t>
    <phoneticPr fontId="35" type="noConversion"/>
  </si>
  <si>
    <t>장항공공주택지구 발생 및 도착량</t>
    <phoneticPr fontId="35" type="noConversion"/>
  </si>
  <si>
    <t>장항 공공주택지구</t>
    <phoneticPr fontId="35" type="noConversion"/>
  </si>
  <si>
    <t>pccar_O</t>
    <phoneticPr fontId="35" type="noConversion"/>
  </si>
  <si>
    <t>pccar_D</t>
    <phoneticPr fontId="35" type="noConversion"/>
  </si>
  <si>
    <t>truck_O</t>
    <phoneticPr fontId="35" type="noConversion"/>
  </si>
  <si>
    <t>일산동구 통행증가율 (2020_2025)</t>
    <phoneticPr fontId="35" type="noConversion"/>
  </si>
  <si>
    <t>일산동구 통행증가율 (2025_2030)</t>
    <phoneticPr fontId="35" type="noConversion"/>
  </si>
  <si>
    <t>일산동구 통행증가율 (2030_2035)</t>
    <phoneticPr fontId="35" type="noConversion"/>
  </si>
  <si>
    <t>일산동구 통행증가율 (2035_2040)</t>
    <phoneticPr fontId="35" type="noConversion"/>
  </si>
  <si>
    <t>일산동구 통행증가율 (2040_2045)</t>
    <phoneticPr fontId="35" type="noConversion"/>
  </si>
  <si>
    <t>일산동구 통행증가율 (2045_2050)</t>
    <phoneticPr fontId="35" type="noConversion"/>
  </si>
  <si>
    <t>일산 동구(장항1동 제외) 통행량 증가율</t>
    <phoneticPr fontId="35" type="noConversion"/>
  </si>
  <si>
    <t>bus_O</t>
    <phoneticPr fontId="35" type="noConversion"/>
  </si>
  <si>
    <t>20_25</t>
    <phoneticPr fontId="35" type="noConversion"/>
  </si>
  <si>
    <t>25_30</t>
    <phoneticPr fontId="35" type="noConversion"/>
  </si>
  <si>
    <t>30_35</t>
    <phoneticPr fontId="35" type="noConversion"/>
  </si>
  <si>
    <t>35_40</t>
    <phoneticPr fontId="35" type="noConversion"/>
  </si>
  <si>
    <t>40_45</t>
    <phoneticPr fontId="35" type="noConversion"/>
  </si>
  <si>
    <t>45_50</t>
    <phoneticPr fontId="35" type="noConversion"/>
  </si>
  <si>
    <t>기준년도</t>
    <phoneticPr fontId="2" type="noConversion"/>
  </si>
  <si>
    <t>FD-F_fod_zone_O</t>
    <phoneticPr fontId="2" type="noConversion"/>
  </si>
  <si>
    <t>2030 Trip dsitribution</t>
    <phoneticPr fontId="2" type="noConversion"/>
  </si>
  <si>
    <t>FD_pccar_taxi-od_D</t>
    <phoneticPr fontId="2" type="noConversion"/>
  </si>
  <si>
    <t>FD_bus-od_D</t>
    <phoneticPr fontId="2" type="noConversion"/>
  </si>
  <si>
    <t>FD-F_fod_zone_O</t>
    <phoneticPr fontId="2" type="noConversion"/>
  </si>
  <si>
    <t>FD-F_fod_zone_D</t>
    <phoneticPr fontId="2" type="noConversion"/>
  </si>
  <si>
    <t>FD-F_fod_zone_O</t>
    <phoneticPr fontId="2" type="noConversion"/>
  </si>
  <si>
    <t>FD-F_fod_zone_O</t>
    <phoneticPr fontId="2" type="noConversion"/>
  </si>
  <si>
    <t>FD_bus-od_D</t>
    <phoneticPr fontId="2" type="noConversion"/>
  </si>
  <si>
    <t>FD-F_fod_zone_D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</si>
</sst>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176" formatCode="0_ "/>
    <numFmt numFmtId="177" formatCode="0.0000"/>
    <numFmt numFmtId="178" formatCode="0.0%"/>
    <numFmt numFmtId="179" formatCode="0.00_ "/>
    <numFmt numFmtId="180" formatCode="0.0000_ "/>
    <numFmt numFmtId="181" formatCode="0.0000000000_ "/>
    <numFmt numFmtId="182" formatCode="0.0000000000_);[Red]\(0.0000000000\)"/>
  </numFmts>
  <fonts count="49">
    <font>
      <sz val="11"/>
      <color theme="1"/>
      <name val="맑은 고딕"/>
      <family val="2"/>
      <scheme val="minor"/>
    </font>
    <font>
      <sz val="10"/>
      <color rgb="FF000000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b/>
      <sz val="10"/>
      <color rgb="FF000000"/>
      <name val="휴먼고딕"/>
      <charset val="129"/>
    </font>
    <font>
      <b/>
      <sz val="10"/>
      <color rgb="FF000000"/>
      <name val="맑은 고딕"/>
      <family val="3"/>
      <charset val="129"/>
      <scheme val="minor"/>
    </font>
    <font>
      <sz val="10"/>
      <color rgb="FF000000"/>
      <name val="휴먼고딕"/>
      <charset val="129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13"/>
      <color rgb="FF0070C0"/>
      <name val="맑은 고딕"/>
      <family val="3"/>
      <charset val="129"/>
      <scheme val="minor"/>
    </font>
    <font>
      <b/>
      <sz val="30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0"/>
      <color rgb="FF000000"/>
      <name val="HY신명조"/>
      <family val="3"/>
      <charset val="129"/>
    </font>
    <font>
      <sz val="10"/>
      <color rgb="FF000000"/>
      <name val="HY신명조"/>
      <family val="3"/>
      <charset val="129"/>
    </font>
    <font>
      <b/>
      <sz val="9"/>
      <color rgb="FF000000"/>
      <name val="HY신명조"/>
      <family val="3"/>
      <charset val="129"/>
    </font>
    <font>
      <b/>
      <sz val="9"/>
      <color rgb="FF000000"/>
      <name val="맑은 고딕"/>
      <family val="3"/>
      <charset val="129"/>
      <scheme val="minor"/>
    </font>
    <font>
      <sz val="9"/>
      <color rgb="FF000000"/>
      <name val="맑은 고딕"/>
      <family val="3"/>
      <charset val="129"/>
      <scheme val="minor"/>
    </font>
    <font>
      <sz val="9"/>
      <color rgb="FF000000"/>
      <name val="HY신명조"/>
      <family val="3"/>
      <charset val="129"/>
    </font>
    <font>
      <b/>
      <sz val="11"/>
      <color rgb="FFFF0000"/>
      <name val="맑은 고딕"/>
      <family val="3"/>
      <charset val="129"/>
      <scheme val="minor"/>
    </font>
    <font>
      <b/>
      <sz val="15"/>
      <color theme="4"/>
      <name val="맑은 고딕"/>
      <family val="3"/>
      <charset val="129"/>
      <scheme val="minor"/>
    </font>
    <font>
      <b/>
      <sz val="15"/>
      <color theme="5"/>
      <name val="맑은 고딕"/>
      <family val="3"/>
      <charset val="129"/>
      <scheme val="minor"/>
    </font>
    <font>
      <b/>
      <sz val="10"/>
      <color rgb="FF000000"/>
      <name val="가는둥근제목체"/>
      <family val="3"/>
      <charset val="129"/>
    </font>
    <font>
      <sz val="10"/>
      <color rgb="FF000000"/>
      <name val="가는둥근제목체"/>
      <family val="3"/>
      <charset val="129"/>
    </font>
    <font>
      <sz val="10.199999999999999"/>
      <color rgb="FF000000"/>
      <name val="맑은 고딕"/>
      <family val="3"/>
      <charset val="129"/>
      <scheme val="minor"/>
    </font>
    <font>
      <b/>
      <sz val="13"/>
      <color theme="1"/>
      <name val="맑은 고딕"/>
      <family val="3"/>
      <charset val="129"/>
      <scheme val="minor"/>
    </font>
    <font>
      <b/>
      <sz val="15"/>
      <color rgb="FF00B0F0"/>
      <name val="맑은 고딕"/>
      <family val="3"/>
      <charset val="129"/>
      <scheme val="minor"/>
    </font>
    <font>
      <b/>
      <sz val="12"/>
      <color rgb="FF00B0F0"/>
      <name val="맑은 고딕"/>
      <family val="3"/>
      <charset val="129"/>
      <scheme val="minor"/>
    </font>
    <font>
      <b/>
      <sz val="12"/>
      <color theme="5"/>
      <name val="맑은 고딕"/>
      <family val="3"/>
      <charset val="129"/>
      <scheme val="minor"/>
    </font>
    <font>
      <b/>
      <sz val="9"/>
      <color rgb="FF000000"/>
      <name val="08서울남산체 B"/>
      <family val="3"/>
      <charset val="129"/>
    </font>
    <font>
      <b/>
      <sz val="11"/>
      <color rgb="FF000000"/>
      <name val="08서울남산체 B"/>
      <family val="3"/>
      <charset val="129"/>
    </font>
    <font>
      <sz val="9"/>
      <color rgb="FF000000"/>
      <name val="08서울남산체 B"/>
      <family val="3"/>
      <charset val="129"/>
    </font>
    <font>
      <sz val="10"/>
      <color rgb="FF000000"/>
      <name val="08서울남산체 B"/>
      <family val="3"/>
      <charset val="129"/>
    </font>
    <font>
      <sz val="11"/>
      <color rgb="FF000000"/>
      <name val="맑은 고딕"/>
      <family val="3"/>
      <charset val="129"/>
      <scheme val="minor"/>
    </font>
    <font>
      <sz val="11"/>
      <color rgb="FF000000"/>
      <name val="08서울남산체 B"/>
      <family val="3"/>
      <charset val="129"/>
    </font>
    <font>
      <sz val="8"/>
      <name val="맑은 고딕"/>
      <family val="2"/>
      <charset val="129"/>
      <scheme val="minor"/>
    </font>
    <font>
      <sz val="20"/>
      <color theme="1"/>
      <name val="맑은 고딕"/>
      <family val="2"/>
      <scheme val="minor"/>
    </font>
    <font>
      <sz val="20"/>
      <color rgb="FF000000"/>
      <name val="휴먼고딕"/>
      <charset val="129"/>
    </font>
    <font>
      <b/>
      <sz val="15"/>
      <color theme="1"/>
      <name val="맑은 고딕"/>
      <family val="3"/>
      <charset val="129"/>
      <scheme val="minor"/>
    </font>
    <font>
      <sz val="10"/>
      <color rgb="FF000000"/>
      <name val="신명 신문명조"/>
      <family val="3"/>
      <charset val="129"/>
    </font>
    <font>
      <sz val="10"/>
      <color rgb="FF000000"/>
      <name val="HCI Hollyhock"/>
      <family val="2"/>
    </font>
    <font>
      <b/>
      <sz val="20"/>
      <color theme="1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  <font>
      <b/>
      <sz val="20"/>
      <color rgb="FF000000"/>
      <name val="휴먼고딕"/>
      <charset val="129"/>
    </font>
    <font>
      <b/>
      <sz val="25"/>
      <color rgb="FF000000"/>
      <name val="맑은 고딕"/>
      <family val="3"/>
      <charset val="129"/>
      <scheme val="minor"/>
    </font>
    <font>
      <b/>
      <sz val="15"/>
      <color rgb="FF000000"/>
      <name val="휴먼고딕"/>
      <charset val="129"/>
    </font>
    <font>
      <b/>
      <sz val="15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D8D8D8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D6D6D6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rgb="FFE5E5E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FF33"/>
        <bgColor indexed="64"/>
      </patternFill>
    </fill>
    <fill>
      <patternFill patternType="solid">
        <fgColor rgb="FFFFC000"/>
        <bgColor indexed="64"/>
      </patternFill>
    </fill>
  </fills>
  <borders count="149">
    <border>
      <left/>
      <right/>
      <top/>
      <bottom/>
      <diagonal/>
    </border>
    <border>
      <left style="thick">
        <color rgb="FF000000"/>
      </left>
      <right/>
      <top style="thick">
        <color rgb="FF000000"/>
      </top>
      <bottom/>
      <diagonal/>
    </border>
    <border>
      <left/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ck">
        <color rgb="FF000000"/>
      </left>
      <right/>
      <top/>
      <bottom style="double">
        <color rgb="FF000000"/>
      </bottom>
      <diagonal/>
    </border>
    <border>
      <left/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/>
      <top style="thick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ck">
        <color rgb="FF000000"/>
      </top>
      <bottom/>
      <diagonal/>
    </border>
    <border>
      <left/>
      <right style="thick">
        <color rgb="FF000000"/>
      </right>
      <top style="thick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/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/>
      <diagonal/>
    </border>
    <border>
      <left style="thick">
        <color rgb="FF000000"/>
      </left>
      <right style="thin">
        <color rgb="FF000000"/>
      </right>
      <top/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/>
      <top style="thin">
        <color rgb="FF000000"/>
      </top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thin">
        <color rgb="FF000000"/>
      </bottom>
      <diagonal/>
    </border>
    <border>
      <left/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/>
      <diagonal/>
    </border>
    <border>
      <left style="thick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/>
      <bottom style="double">
        <color rgb="FF000000"/>
      </bottom>
      <diagonal/>
    </border>
    <border>
      <left/>
      <right style="thin">
        <color rgb="FF000000"/>
      </right>
      <top style="double">
        <color rgb="FF000000"/>
      </top>
      <bottom/>
      <diagonal/>
    </border>
    <border>
      <left/>
      <right style="thin">
        <color rgb="FF000000"/>
      </right>
      <top/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double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/>
      <diagonal/>
    </border>
    <border>
      <left/>
      <right style="thick">
        <color rgb="FF000000"/>
      </right>
      <top style="double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double">
        <color rgb="FF000000"/>
      </top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double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ck">
        <color rgb="FF000000"/>
      </bottom>
      <diagonal/>
    </border>
    <border>
      <left/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/>
      <right/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/>
      <diagonal/>
    </border>
    <border>
      <left style="thin">
        <color rgb="FF000000"/>
      </left>
      <right/>
      <top/>
      <bottom style="thick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rgb="FF000000"/>
      </right>
      <top style="medium">
        <color indexed="64"/>
      </top>
      <bottom/>
      <diagonal/>
    </border>
    <border>
      <left style="thin">
        <color rgb="FF000000"/>
      </left>
      <right/>
      <top style="medium">
        <color indexed="64"/>
      </top>
      <bottom style="thin">
        <color rgb="FF000000"/>
      </bottom>
      <diagonal/>
    </border>
    <border>
      <left/>
      <right/>
      <top style="medium">
        <color indexed="64"/>
      </top>
      <bottom style="thin">
        <color rgb="FF000000"/>
      </bottom>
      <diagonal/>
    </border>
    <border>
      <left/>
      <right style="thin">
        <color rgb="FF000000"/>
      </right>
      <top style="medium">
        <color indexed="64"/>
      </top>
      <bottom style="thin">
        <color rgb="FF000000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double">
        <color rgb="FF000000"/>
      </bottom>
      <diagonal/>
    </border>
    <border>
      <left style="medium">
        <color indexed="64"/>
      </left>
      <right style="thin">
        <color rgb="FF000000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/>
      <top style="thin">
        <color rgb="FF000000"/>
      </top>
      <bottom style="medium">
        <color indexed="64"/>
      </bottom>
      <diagonal/>
    </border>
    <border>
      <left/>
      <right/>
      <top style="thin">
        <color rgb="FF000000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double">
        <color rgb="FF000000"/>
      </right>
      <top style="thick">
        <color rgb="FF000000"/>
      </top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 style="double">
        <color rgb="FF000000"/>
      </bottom>
      <diagonal/>
    </border>
    <border>
      <left style="thin">
        <color rgb="FF000000"/>
      </left>
      <right style="double">
        <color rgb="FF000000"/>
      </right>
      <top style="double">
        <color rgb="FF000000"/>
      </top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/>
      <diagonal/>
    </border>
    <border>
      <left style="thin">
        <color rgb="FF000000"/>
      </left>
      <right style="double">
        <color rgb="FF000000"/>
      </right>
      <top/>
      <bottom style="thin">
        <color rgb="FF000000"/>
      </bottom>
      <diagonal/>
    </border>
    <border>
      <left style="double">
        <color rgb="FF000000"/>
      </left>
      <right style="thin">
        <color rgb="FF000000"/>
      </right>
      <top style="thin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/>
      <diagonal/>
    </border>
    <border>
      <left style="thin">
        <color rgb="FF000000"/>
      </left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ck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 style="thin">
        <color rgb="FF000000"/>
      </left>
      <right/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ck">
        <color rgb="FF000000"/>
      </top>
      <bottom style="double">
        <color rgb="FF000000"/>
      </bottom>
      <diagonal/>
    </border>
    <border>
      <left/>
      <right style="double">
        <color rgb="FF000000"/>
      </right>
      <top style="thick">
        <color rgb="FF000000"/>
      </top>
      <bottom/>
      <diagonal/>
    </border>
    <border>
      <left/>
      <right style="double">
        <color rgb="FF000000"/>
      </right>
      <top/>
      <bottom style="double">
        <color rgb="FF000000"/>
      </bottom>
      <diagonal/>
    </border>
    <border>
      <left style="double">
        <color rgb="FF000000"/>
      </left>
      <right style="thin">
        <color rgb="FF000000"/>
      </right>
      <top style="thick">
        <color rgb="FF000000"/>
      </top>
      <bottom/>
      <diagonal/>
    </border>
    <border>
      <left style="double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 style="double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9" fontId="42" fillId="0" borderId="0" applyFont="0" applyFill="0" applyBorder="0" applyAlignment="0" applyProtection="0">
      <alignment vertical="center"/>
    </xf>
    <xf numFmtId="0" fontId="48" fillId="0" borderId="0">
      <alignment vertical="center"/>
    </xf>
  </cellStyleXfs>
  <cellXfs count="661">
    <xf numFmtId="0" fontId="0" fillId="0" borderId="0" xfId="0"/>
    <xf numFmtId="0" fontId="3" fillId="2" borderId="7" xfId="0" applyFont="1" applyFill="1" applyBorder="1" applyAlignment="1">
      <alignment horizontal="center" vertical="center" wrapText="1"/>
    </xf>
    <xf numFmtId="0" fontId="3" fillId="2" borderId="8" xfId="0" applyFont="1" applyFill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  <xf numFmtId="0" fontId="3" fillId="2" borderId="17" xfId="0" applyFont="1" applyFill="1" applyBorder="1" applyAlignment="1">
      <alignment horizontal="center" vertical="center" wrapText="1"/>
    </xf>
    <xf numFmtId="0" fontId="3" fillId="2" borderId="18" xfId="0" applyFont="1" applyFill="1" applyBorder="1" applyAlignment="1">
      <alignment horizontal="center" vertical="center" wrapText="1"/>
    </xf>
    <xf numFmtId="0" fontId="1" fillId="0" borderId="22" xfId="0" applyFont="1" applyBorder="1" applyAlignment="1">
      <alignment horizontal="center" vertical="center" wrapText="1"/>
    </xf>
    <xf numFmtId="0" fontId="1" fillId="0" borderId="23" xfId="0" applyFont="1" applyBorder="1" applyAlignment="1">
      <alignment horizontal="center" vertical="center" wrapText="1"/>
    </xf>
    <xf numFmtId="3" fontId="1" fillId="0" borderId="27" xfId="0" applyNumberFormat="1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3" fontId="1" fillId="0" borderId="28" xfId="0" applyNumberFormat="1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0" fillId="0" borderId="31" xfId="0" applyBorder="1" applyAlignment="1">
      <alignment vertical="center" wrapText="1"/>
    </xf>
    <xf numFmtId="0" fontId="5" fillId="0" borderId="27" xfId="0" applyFont="1" applyBorder="1" applyAlignment="1">
      <alignment horizontal="center" vertical="center" wrapText="1"/>
    </xf>
    <xf numFmtId="0" fontId="1" fillId="0" borderId="35" xfId="0" applyFont="1" applyBorder="1" applyAlignment="1">
      <alignment horizontal="center" vertical="center" wrapText="1"/>
    </xf>
    <xf numFmtId="3" fontId="1" fillId="0" borderId="35" xfId="0" applyNumberFormat="1" applyFont="1" applyBorder="1" applyAlignment="1">
      <alignment horizontal="center" vertical="center" wrapText="1"/>
    </xf>
    <xf numFmtId="3" fontId="1" fillId="0" borderId="36" xfId="0" applyNumberFormat="1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3" fontId="1" fillId="0" borderId="0" xfId="0" applyNumberFormat="1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 wrapText="1"/>
    </xf>
    <xf numFmtId="0" fontId="5" fillId="0" borderId="32" xfId="0" applyFont="1" applyBorder="1" applyAlignment="1">
      <alignment horizontal="center" vertical="center" wrapText="1"/>
    </xf>
    <xf numFmtId="0" fontId="10" fillId="0" borderId="0" xfId="0" applyFont="1"/>
    <xf numFmtId="0" fontId="11" fillId="0" borderId="0" xfId="0" applyFont="1"/>
    <xf numFmtId="0" fontId="5" fillId="2" borderId="17" xfId="0" applyFont="1" applyFill="1" applyBorder="1" applyAlignment="1">
      <alignment horizontal="center" vertical="center" wrapText="1"/>
    </xf>
    <xf numFmtId="0" fontId="5" fillId="2" borderId="18" xfId="0" applyFont="1" applyFill="1" applyBorder="1" applyAlignment="1">
      <alignment horizontal="center" vertical="center" wrapText="1"/>
    </xf>
    <xf numFmtId="0" fontId="4" fillId="0" borderId="35" xfId="0" applyFont="1" applyBorder="1" applyAlignment="1">
      <alignment horizontal="center" vertical="center" wrapText="1"/>
    </xf>
    <xf numFmtId="3" fontId="4" fillId="0" borderId="35" xfId="0" applyNumberFormat="1" applyFont="1" applyBorder="1" applyAlignment="1">
      <alignment horizontal="center" vertical="center" wrapText="1"/>
    </xf>
    <xf numFmtId="3" fontId="4" fillId="0" borderId="36" xfId="0" applyNumberFormat="1" applyFont="1" applyBorder="1" applyAlignment="1">
      <alignment horizontal="center" vertical="center" wrapText="1"/>
    </xf>
    <xf numFmtId="0" fontId="12" fillId="0" borderId="0" xfId="0" applyFont="1"/>
    <xf numFmtId="0" fontId="12" fillId="0" borderId="0" xfId="0" applyFont="1" applyAlignment="1">
      <alignment horizontal="center"/>
    </xf>
    <xf numFmtId="0" fontId="0" fillId="3" borderId="0" xfId="0" applyFill="1"/>
    <xf numFmtId="0" fontId="13" fillId="4" borderId="40" xfId="0" applyFont="1" applyFill="1" applyBorder="1" applyAlignment="1">
      <alignment horizontal="center" vertical="center" wrapText="1"/>
    </xf>
    <xf numFmtId="0" fontId="13" fillId="4" borderId="17" xfId="0" applyFont="1" applyFill="1" applyBorder="1" applyAlignment="1">
      <alignment horizontal="center" vertical="center" wrapText="1"/>
    </xf>
    <xf numFmtId="0" fontId="13" fillId="4" borderId="49" xfId="0" applyFont="1" applyFill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 wrapText="1"/>
    </xf>
    <xf numFmtId="0" fontId="1" fillId="0" borderId="50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0" fontId="1" fillId="0" borderId="40" xfId="0" applyFont="1" applyBorder="1" applyAlignment="1">
      <alignment horizontal="center" vertical="center" wrapText="1"/>
    </xf>
    <xf numFmtId="0" fontId="14" fillId="0" borderId="34" xfId="0" applyFont="1" applyBorder="1" applyAlignment="1">
      <alignment horizontal="center" vertical="center" wrapText="1"/>
    </xf>
    <xf numFmtId="3" fontId="1" fillId="0" borderId="48" xfId="0" applyNumberFormat="1" applyFont="1" applyBorder="1" applyAlignment="1">
      <alignment horizontal="center" vertical="center" wrapText="1"/>
    </xf>
    <xf numFmtId="0" fontId="14" fillId="0" borderId="22" xfId="0" applyFont="1" applyBorder="1" applyAlignment="1">
      <alignment horizontal="center" vertical="center" wrapText="1"/>
    </xf>
    <xf numFmtId="0" fontId="14" fillId="0" borderId="50" xfId="0" applyFont="1" applyBorder="1" applyAlignment="1">
      <alignment horizontal="center" vertical="center" wrapText="1"/>
    </xf>
    <xf numFmtId="0" fontId="14" fillId="0" borderId="27" xfId="0" applyFont="1" applyBorder="1" applyAlignment="1">
      <alignment horizontal="center" vertical="center" wrapText="1"/>
    </xf>
    <xf numFmtId="0" fontId="14" fillId="0" borderId="40" xfId="0" applyFont="1" applyBorder="1" applyAlignment="1">
      <alignment horizontal="center" vertical="center" wrapText="1"/>
    </xf>
    <xf numFmtId="0" fontId="14" fillId="0" borderId="35" xfId="0" applyFont="1" applyBorder="1" applyAlignment="1">
      <alignment horizontal="center" vertical="center" wrapText="1"/>
    </xf>
    <xf numFmtId="0" fontId="14" fillId="0" borderId="48" xfId="0" applyFont="1" applyBorder="1" applyAlignment="1">
      <alignment horizontal="center" vertical="center" wrapText="1"/>
    </xf>
    <xf numFmtId="0" fontId="15" fillId="4" borderId="17" xfId="0" applyFont="1" applyFill="1" applyBorder="1" applyAlignment="1">
      <alignment horizontal="center" vertical="center" wrapText="1"/>
    </xf>
    <xf numFmtId="3" fontId="14" fillId="0" borderId="35" xfId="0" applyNumberFormat="1" applyFont="1" applyBorder="1" applyAlignment="1">
      <alignment horizontal="center" vertical="center" wrapText="1"/>
    </xf>
    <xf numFmtId="3" fontId="14" fillId="0" borderId="48" xfId="0" applyNumberFormat="1" applyFont="1" applyBorder="1" applyAlignment="1">
      <alignment horizontal="center" vertical="center" wrapText="1"/>
    </xf>
    <xf numFmtId="0" fontId="13" fillId="2" borderId="17" xfId="0" applyFont="1" applyFill="1" applyBorder="1" applyAlignment="1">
      <alignment horizontal="center" vertical="center" wrapText="1"/>
    </xf>
    <xf numFmtId="0" fontId="13" fillId="2" borderId="49" xfId="0" applyFont="1" applyFill="1" applyBorder="1" applyAlignment="1">
      <alignment horizontal="center" vertical="center" wrapText="1"/>
    </xf>
    <xf numFmtId="0" fontId="1" fillId="0" borderId="48" xfId="0" applyFont="1" applyBorder="1" applyAlignment="1">
      <alignment horizontal="center" vertical="center" wrapText="1"/>
    </xf>
    <xf numFmtId="0" fontId="14" fillId="0" borderId="0" xfId="0" applyFont="1" applyBorder="1" applyAlignment="1">
      <alignment horizontal="center" vertical="center" wrapText="1"/>
    </xf>
    <xf numFmtId="0" fontId="1" fillId="0" borderId="0" xfId="0" applyFont="1" applyFill="1" applyBorder="1" applyAlignment="1">
      <alignment horizontal="left" vertical="center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right" vertical="center"/>
    </xf>
    <xf numFmtId="0" fontId="0" fillId="0" borderId="0" xfId="0" applyAlignment="1">
      <alignment horizontal="right"/>
    </xf>
    <xf numFmtId="0" fontId="13" fillId="4" borderId="47" xfId="0" applyFont="1" applyFill="1" applyBorder="1" applyAlignment="1">
      <alignment horizontal="center" vertical="center" wrapText="1"/>
    </xf>
    <xf numFmtId="0" fontId="13" fillId="4" borderId="54" xfId="0" applyFont="1" applyFill="1" applyBorder="1" applyAlignment="1">
      <alignment horizontal="center" vertical="center" wrapText="1"/>
    </xf>
    <xf numFmtId="3" fontId="14" fillId="0" borderId="56" xfId="0" applyNumberFormat="1" applyFont="1" applyBorder="1" applyAlignment="1">
      <alignment horizontal="center" vertical="center" wrapText="1"/>
    </xf>
    <xf numFmtId="0" fontId="14" fillId="0" borderId="56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3" fontId="1" fillId="0" borderId="56" xfId="0" applyNumberFormat="1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3" fontId="1" fillId="3" borderId="56" xfId="0" applyNumberFormat="1" applyFont="1" applyFill="1" applyBorder="1" applyAlignment="1">
      <alignment horizontal="center" vertical="center" wrapText="1"/>
    </xf>
    <xf numFmtId="0" fontId="0" fillId="5" borderId="0" xfId="0" applyFill="1"/>
    <xf numFmtId="0" fontId="19" fillId="0" borderId="0" xfId="0" applyFont="1"/>
    <xf numFmtId="0" fontId="3" fillId="4" borderId="60" xfId="0" applyFont="1" applyFill="1" applyBorder="1" applyAlignment="1">
      <alignment horizontal="center" vertical="center" wrapText="1"/>
    </xf>
    <xf numFmtId="0" fontId="3" fillId="4" borderId="61" xfId="0" applyFont="1" applyFill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10" fontId="1" fillId="0" borderId="22" xfId="0" applyNumberFormat="1" applyFont="1" applyBorder="1" applyAlignment="1">
      <alignment horizontal="center" vertical="center" wrapText="1"/>
    </xf>
    <xf numFmtId="10" fontId="1" fillId="0" borderId="21" xfId="0" applyNumberFormat="1" applyFont="1" applyBorder="1" applyAlignment="1">
      <alignment horizontal="center" vertical="center" wrapText="1"/>
    </xf>
    <xf numFmtId="10" fontId="1" fillId="0" borderId="63" xfId="0" applyNumberFormat="1" applyFont="1" applyBorder="1" applyAlignment="1">
      <alignment horizontal="center" vertical="center" wrapText="1"/>
    </xf>
    <xf numFmtId="10" fontId="1" fillId="0" borderId="27" xfId="0" applyNumberFormat="1" applyFont="1" applyBorder="1" applyAlignment="1">
      <alignment horizontal="center" vertical="center" wrapText="1"/>
    </xf>
    <xf numFmtId="10" fontId="1" fillId="0" borderId="26" xfId="0" applyNumberFormat="1" applyFont="1" applyBorder="1" applyAlignment="1">
      <alignment horizontal="center" vertical="center" wrapText="1"/>
    </xf>
    <xf numFmtId="10" fontId="1" fillId="0" borderId="42" xfId="0" applyNumberFormat="1" applyFont="1" applyBorder="1" applyAlignment="1">
      <alignment horizontal="center" vertical="center" wrapText="1"/>
    </xf>
    <xf numFmtId="0" fontId="5" fillId="0" borderId="35" xfId="0" applyFont="1" applyBorder="1" applyAlignment="1">
      <alignment horizontal="center" vertical="center" wrapText="1"/>
    </xf>
    <xf numFmtId="10" fontId="1" fillId="0" borderId="35" xfId="0" applyNumberFormat="1" applyFont="1" applyBorder="1" applyAlignment="1">
      <alignment horizontal="center" vertical="center" wrapText="1"/>
    </xf>
    <xf numFmtId="10" fontId="1" fillId="0" borderId="34" xfId="0" applyNumberFormat="1" applyFont="1" applyBorder="1" applyAlignment="1">
      <alignment horizontal="center" vertical="center" wrapText="1"/>
    </xf>
    <xf numFmtId="10" fontId="1" fillId="0" borderId="65" xfId="0" applyNumberFormat="1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3" fillId="4" borderId="57" xfId="0" applyFont="1" applyFill="1" applyBorder="1" applyAlignment="1">
      <alignment horizontal="center" vertical="center" wrapText="1"/>
    </xf>
    <xf numFmtId="0" fontId="5" fillId="0" borderId="66" xfId="0" applyFont="1" applyBorder="1" applyAlignment="1">
      <alignment horizontal="center" vertical="center" wrapText="1"/>
    </xf>
    <xf numFmtId="0" fontId="1" fillId="0" borderId="67" xfId="0" applyFont="1" applyBorder="1" applyAlignment="1">
      <alignment horizontal="center" vertical="center" wrapText="1"/>
    </xf>
    <xf numFmtId="0" fontId="1" fillId="0" borderId="68" xfId="0" applyFont="1" applyBorder="1" applyAlignment="1">
      <alignment horizontal="center" vertical="center" wrapText="1"/>
    </xf>
    <xf numFmtId="0" fontId="3" fillId="4" borderId="0" xfId="0" applyFont="1" applyFill="1" applyBorder="1" applyAlignment="1">
      <alignment horizontal="center" vertical="center" wrapText="1"/>
    </xf>
    <xf numFmtId="3" fontId="0" fillId="0" borderId="0" xfId="0" applyNumberFormat="1"/>
    <xf numFmtId="0" fontId="0" fillId="0" borderId="56" xfId="0" applyBorder="1"/>
    <xf numFmtId="0" fontId="20" fillId="0" borderId="0" xfId="0" applyFont="1"/>
    <xf numFmtId="0" fontId="12" fillId="0" borderId="56" xfId="0" applyFont="1" applyBorder="1"/>
    <xf numFmtId="0" fontId="0" fillId="3" borderId="56" xfId="0" applyFill="1" applyBorder="1"/>
    <xf numFmtId="0" fontId="21" fillId="0" borderId="0" xfId="0" applyFont="1"/>
    <xf numFmtId="0" fontId="5" fillId="0" borderId="56" xfId="0" applyFont="1" applyBorder="1" applyAlignment="1">
      <alignment horizontal="center" vertical="center" wrapText="1"/>
    </xf>
    <xf numFmtId="0" fontId="0" fillId="0" borderId="56" xfId="0" applyBorder="1" applyAlignment="1">
      <alignment vertical="center" wrapText="1"/>
    </xf>
    <xf numFmtId="0" fontId="22" fillId="6" borderId="7" xfId="0" applyFont="1" applyFill="1" applyBorder="1" applyAlignment="1">
      <alignment horizontal="center" vertical="center" wrapText="1"/>
    </xf>
    <xf numFmtId="0" fontId="22" fillId="6" borderId="9" xfId="0" applyFont="1" applyFill="1" applyBorder="1" applyAlignment="1">
      <alignment horizontal="center" vertical="center" wrapText="1"/>
    </xf>
    <xf numFmtId="0" fontId="22" fillId="6" borderId="17" xfId="0" applyFont="1" applyFill="1" applyBorder="1" applyAlignment="1">
      <alignment horizontal="center" vertical="center" wrapText="1"/>
    </xf>
    <xf numFmtId="3" fontId="24" fillId="0" borderId="22" xfId="0" applyNumberFormat="1" applyFont="1" applyBorder="1" applyAlignment="1">
      <alignment horizontal="right" vertical="center" wrapText="1"/>
    </xf>
    <xf numFmtId="3" fontId="24" fillId="0" borderId="23" xfId="0" applyNumberFormat="1" applyFont="1" applyBorder="1" applyAlignment="1">
      <alignment horizontal="right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0" fillId="0" borderId="8" xfId="0" applyBorder="1" applyAlignment="1">
      <alignment vertical="center" wrapText="1"/>
    </xf>
    <xf numFmtId="0" fontId="0" fillId="0" borderId="79" xfId="0" applyBorder="1" applyAlignment="1">
      <alignment vertical="center" wrapText="1"/>
    </xf>
    <xf numFmtId="3" fontId="24" fillId="0" borderId="27" xfId="0" applyNumberFormat="1" applyFont="1" applyBorder="1" applyAlignment="1">
      <alignment horizontal="right" vertical="center" wrapText="1"/>
    </xf>
    <xf numFmtId="3" fontId="24" fillId="0" borderId="28" xfId="0" applyNumberFormat="1" applyFont="1" applyBorder="1" applyAlignment="1">
      <alignment horizontal="right" vertical="center" wrapText="1"/>
    </xf>
    <xf numFmtId="0" fontId="23" fillId="0" borderId="79" xfId="0" applyFont="1" applyBorder="1" applyAlignment="1">
      <alignment horizontal="center" vertical="center" wrapText="1"/>
    </xf>
    <xf numFmtId="0" fontId="24" fillId="0" borderId="27" xfId="0" applyFont="1" applyBorder="1" applyAlignment="1">
      <alignment horizontal="right" vertical="center" wrapText="1"/>
    </xf>
    <xf numFmtId="0" fontId="23" fillId="0" borderId="27" xfId="0" applyFont="1" applyBorder="1" applyAlignment="1">
      <alignment horizontal="center" vertical="center" wrapText="1"/>
    </xf>
    <xf numFmtId="0" fontId="0" fillId="0" borderId="80" xfId="0" applyBorder="1" applyAlignment="1">
      <alignment vertical="center" wrapText="1"/>
    </xf>
    <xf numFmtId="0" fontId="24" fillId="0" borderId="28" xfId="0" applyFont="1" applyBorder="1" applyAlignment="1">
      <alignment horizontal="right" vertical="center" wrapText="1"/>
    </xf>
    <xf numFmtId="3" fontId="24" fillId="0" borderId="35" xfId="0" applyNumberFormat="1" applyFont="1" applyBorder="1" applyAlignment="1">
      <alignment horizontal="right" vertical="center" wrapText="1"/>
    </xf>
    <xf numFmtId="3" fontId="24" fillId="0" borderId="36" xfId="0" applyNumberFormat="1" applyFont="1" applyBorder="1" applyAlignment="1">
      <alignment horizontal="right" vertical="center" wrapText="1"/>
    </xf>
    <xf numFmtId="3" fontId="24" fillId="0" borderId="75" xfId="0" applyNumberFormat="1" applyFont="1" applyBorder="1" applyAlignment="1">
      <alignment horizontal="right" vertical="center" wrapText="1"/>
    </xf>
    <xf numFmtId="3" fontId="24" fillId="0" borderId="82" xfId="0" applyNumberFormat="1" applyFont="1" applyBorder="1" applyAlignment="1">
      <alignment horizontal="right" vertical="center" wrapText="1"/>
    </xf>
    <xf numFmtId="0" fontId="22" fillId="6" borderId="60" xfId="0" applyFont="1" applyFill="1" applyBorder="1" applyAlignment="1">
      <alignment horizontal="center" vertical="center" wrapText="1"/>
    </xf>
    <xf numFmtId="0" fontId="22" fillId="6" borderId="61" xfId="0" applyFont="1" applyFill="1" applyBorder="1" applyAlignment="1">
      <alignment horizontal="center" vertical="center" wrapText="1"/>
    </xf>
    <xf numFmtId="0" fontId="23" fillId="0" borderId="22" xfId="0" applyFont="1" applyBorder="1" applyAlignment="1">
      <alignment horizontal="center" vertical="center" wrapText="1"/>
    </xf>
    <xf numFmtId="3" fontId="1" fillId="0" borderId="22" xfId="0" applyNumberFormat="1" applyFont="1" applyBorder="1" applyAlignment="1">
      <alignment horizontal="center" vertical="center" wrapText="1"/>
    </xf>
    <xf numFmtId="3" fontId="1" fillId="0" borderId="23" xfId="0" applyNumberFormat="1" applyFont="1" applyBorder="1" applyAlignment="1">
      <alignment horizontal="center" vertical="center" wrapText="1"/>
    </xf>
    <xf numFmtId="0" fontId="23" fillId="0" borderId="35" xfId="0" applyFont="1" applyBorder="1" applyAlignment="1">
      <alignment horizontal="center" vertical="center" wrapText="1"/>
    </xf>
    <xf numFmtId="0" fontId="1" fillId="0" borderId="36" xfId="0" applyFont="1" applyBorder="1" applyAlignment="1">
      <alignment horizontal="center" vertical="center" wrapText="1"/>
    </xf>
    <xf numFmtId="0" fontId="23" fillId="0" borderId="84" xfId="0" applyFont="1" applyBorder="1" applyAlignment="1">
      <alignment horizontal="center" vertical="center" wrapText="1"/>
    </xf>
    <xf numFmtId="0" fontId="1" fillId="0" borderId="22" xfId="0" applyFont="1" applyBorder="1" applyAlignment="1">
      <alignment horizontal="right" vertical="center" wrapText="1"/>
    </xf>
    <xf numFmtId="0" fontId="1" fillId="0" borderId="23" xfId="0" applyFont="1" applyBorder="1" applyAlignment="1">
      <alignment horizontal="right" vertical="center" wrapText="1"/>
    </xf>
    <xf numFmtId="0" fontId="1" fillId="0" borderId="27" xfId="0" applyFont="1" applyBorder="1" applyAlignment="1">
      <alignment horizontal="right" vertical="center" wrapText="1"/>
    </xf>
    <xf numFmtId="0" fontId="1" fillId="0" borderId="28" xfId="0" applyFont="1" applyBorder="1" applyAlignment="1">
      <alignment horizontal="right" vertical="center" wrapText="1"/>
    </xf>
    <xf numFmtId="0" fontId="1" fillId="0" borderId="35" xfId="0" applyFont="1" applyBorder="1" applyAlignment="1">
      <alignment horizontal="right" vertical="center" wrapText="1"/>
    </xf>
    <xf numFmtId="0" fontId="1" fillId="0" borderId="36" xfId="0" applyFont="1" applyBorder="1" applyAlignment="1">
      <alignment horizontal="right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right" vertical="center" wrapText="1"/>
    </xf>
    <xf numFmtId="0" fontId="22" fillId="6" borderId="92" xfId="0" applyFont="1" applyFill="1" applyBorder="1" applyAlignment="1">
      <alignment vertical="center" wrapText="1"/>
    </xf>
    <xf numFmtId="0" fontId="22" fillId="6" borderId="93" xfId="0" applyFont="1" applyFill="1" applyBorder="1" applyAlignment="1">
      <alignment vertical="center" wrapText="1"/>
    </xf>
    <xf numFmtId="0" fontId="22" fillId="6" borderId="94" xfId="0" applyFont="1" applyFill="1" applyBorder="1" applyAlignment="1">
      <alignment vertical="center" wrapText="1"/>
    </xf>
    <xf numFmtId="0" fontId="1" fillId="0" borderId="97" xfId="0" applyFont="1" applyBorder="1" applyAlignment="1">
      <alignment vertical="center" wrapText="1"/>
    </xf>
    <xf numFmtId="0" fontId="1" fillId="0" borderId="99" xfId="0" applyFont="1" applyBorder="1" applyAlignment="1">
      <alignment vertical="center" wrapText="1"/>
    </xf>
    <xf numFmtId="0" fontId="0" fillId="0" borderId="100" xfId="0" applyBorder="1" applyAlignment="1">
      <alignment vertical="center" wrapText="1"/>
    </xf>
    <xf numFmtId="0" fontId="22" fillId="6" borderId="47" xfId="0" applyFont="1" applyFill="1" applyBorder="1" applyAlignment="1">
      <alignment horizontal="center" vertical="center" wrapText="1"/>
    </xf>
    <xf numFmtId="0" fontId="24" fillId="3" borderId="56" xfId="0" applyFont="1" applyFill="1" applyBorder="1" applyAlignment="1">
      <alignment horizontal="right" vertical="center" wrapText="1"/>
    </xf>
    <xf numFmtId="0" fontId="0" fillId="3" borderId="104" xfId="0" applyFill="1" applyBorder="1"/>
    <xf numFmtId="0" fontId="24" fillId="3" borderId="105" xfId="0" applyFont="1" applyFill="1" applyBorder="1" applyAlignment="1">
      <alignment horizontal="right" vertical="center" wrapText="1"/>
    </xf>
    <xf numFmtId="0" fontId="0" fillId="3" borderId="105" xfId="0" applyFill="1" applyBorder="1"/>
    <xf numFmtId="0" fontId="0" fillId="3" borderId="106" xfId="0" applyFill="1" applyBorder="1"/>
    <xf numFmtId="0" fontId="26" fillId="0" borderId="0" xfId="0" applyFont="1"/>
    <xf numFmtId="0" fontId="22" fillId="6" borderId="57" xfId="0" applyFont="1" applyFill="1" applyBorder="1" applyAlignment="1">
      <alignment horizontal="center" vertical="center" wrapText="1"/>
    </xf>
    <xf numFmtId="0" fontId="23" fillId="0" borderId="66" xfId="0" applyFont="1" applyBorder="1" applyAlignment="1">
      <alignment horizontal="center" vertical="center" wrapText="1"/>
    </xf>
    <xf numFmtId="0" fontId="27" fillId="0" borderId="0" xfId="0" applyFont="1"/>
    <xf numFmtId="0" fontId="28" fillId="0" borderId="0" xfId="0" applyFont="1"/>
    <xf numFmtId="0" fontId="0" fillId="8" borderId="0" xfId="0" applyFill="1"/>
    <xf numFmtId="0" fontId="12" fillId="8" borderId="56" xfId="0" applyFont="1" applyFill="1" applyBorder="1"/>
    <xf numFmtId="0" fontId="0" fillId="8" borderId="56" xfId="0" applyFill="1" applyBorder="1"/>
    <xf numFmtId="1" fontId="0" fillId="8" borderId="56" xfId="0" applyNumberFormat="1" applyFill="1" applyBorder="1"/>
    <xf numFmtId="0" fontId="0" fillId="0" borderId="0" xfId="0" applyAlignment="1">
      <alignment wrapText="1"/>
    </xf>
    <xf numFmtId="0" fontId="1" fillId="0" borderId="0" xfId="0" applyFont="1" applyAlignment="1">
      <alignment horizontal="justify" vertical="center"/>
    </xf>
    <xf numFmtId="0" fontId="32" fillId="0" borderId="0" xfId="0" applyFont="1" applyAlignment="1">
      <alignment horizontal="justify" vertical="center"/>
    </xf>
    <xf numFmtId="0" fontId="30" fillId="0" borderId="0" xfId="0" applyFont="1" applyFill="1" applyBorder="1" applyAlignment="1">
      <alignment horizontal="justify" vertical="center"/>
    </xf>
    <xf numFmtId="0" fontId="17" fillId="0" borderId="108" xfId="0" applyFont="1" applyBorder="1" applyAlignment="1">
      <alignment horizontal="center" vertical="center" wrapText="1"/>
    </xf>
    <xf numFmtId="0" fontId="17" fillId="0" borderId="28" xfId="0" applyFont="1" applyBorder="1" applyAlignment="1">
      <alignment horizontal="center" vertical="center" wrapText="1"/>
    </xf>
    <xf numFmtId="0" fontId="29" fillId="0" borderId="56" xfId="0" applyFont="1" applyBorder="1" applyAlignment="1">
      <alignment horizontal="center" vertical="center" wrapText="1"/>
    </xf>
    <xf numFmtId="3" fontId="16" fillId="0" borderId="56" xfId="0" applyNumberFormat="1" applyFont="1" applyBorder="1" applyAlignment="1">
      <alignment horizontal="center" vertical="center" wrapText="1"/>
    </xf>
    <xf numFmtId="3" fontId="17" fillId="0" borderId="56" xfId="0" applyNumberFormat="1" applyFont="1" applyBorder="1" applyAlignment="1">
      <alignment horizontal="center" vertical="center" wrapText="1"/>
    </xf>
    <xf numFmtId="0" fontId="17" fillId="0" borderId="56" xfId="0" applyFont="1" applyBorder="1" applyAlignment="1">
      <alignment horizontal="center" vertical="center" wrapText="1"/>
    </xf>
    <xf numFmtId="0" fontId="29" fillId="0" borderId="110" xfId="0" applyFont="1" applyBorder="1" applyAlignment="1">
      <alignment horizontal="center" vertical="center" wrapText="1"/>
    </xf>
    <xf numFmtId="0" fontId="29" fillId="0" borderId="61" xfId="0" applyFont="1" applyBorder="1" applyAlignment="1">
      <alignment horizontal="center" vertical="center" wrapText="1"/>
    </xf>
    <xf numFmtId="0" fontId="31" fillId="0" borderId="84" xfId="0" applyFont="1" applyBorder="1" applyAlignment="1">
      <alignment horizontal="center" vertical="center" wrapText="1"/>
    </xf>
    <xf numFmtId="0" fontId="17" fillId="0" borderId="79" xfId="0" applyFont="1" applyBorder="1" applyAlignment="1">
      <alignment horizontal="center" vertical="center" wrapText="1"/>
    </xf>
    <xf numFmtId="0" fontId="31" fillId="0" borderId="111" xfId="0" applyFont="1" applyBorder="1" applyAlignment="1">
      <alignment horizontal="center" vertical="center" wrapText="1"/>
    </xf>
    <xf numFmtId="0" fontId="17" fillId="0" borderId="112" xfId="0" applyFont="1" applyBorder="1" applyAlignment="1">
      <alignment horizontal="center" vertical="center" wrapText="1"/>
    </xf>
    <xf numFmtId="0" fontId="17" fillId="0" borderId="23" xfId="0" applyFont="1" applyBorder="1" applyAlignment="1">
      <alignment horizontal="center" vertical="center" wrapText="1"/>
    </xf>
    <xf numFmtId="0" fontId="31" fillId="0" borderId="113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7" fillId="0" borderId="80" xfId="0" applyFont="1" applyBorder="1" applyAlignment="1">
      <alignment horizontal="center" vertical="center" wrapText="1"/>
    </xf>
    <xf numFmtId="0" fontId="31" fillId="0" borderId="120" xfId="0" applyFont="1" applyBorder="1" applyAlignment="1">
      <alignment horizontal="center" vertical="center" wrapText="1"/>
    </xf>
    <xf numFmtId="0" fontId="17" fillId="0" borderId="107" xfId="0" applyFont="1" applyBorder="1" applyAlignment="1">
      <alignment horizontal="center" vertical="center" wrapText="1"/>
    </xf>
    <xf numFmtId="0" fontId="17" fillId="0" borderId="3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  <xf numFmtId="3" fontId="16" fillId="8" borderId="56" xfId="0" applyNumberFormat="1" applyFont="1" applyFill="1" applyBorder="1" applyAlignment="1">
      <alignment horizontal="center" vertical="center" wrapText="1"/>
    </xf>
    <xf numFmtId="0" fontId="16" fillId="8" borderId="56" xfId="0" applyFont="1" applyFill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36" fillId="0" borderId="0" xfId="0" applyFont="1"/>
    <xf numFmtId="0" fontId="36" fillId="0" borderId="0" xfId="0" applyFont="1" applyAlignment="1">
      <alignment vertical="center"/>
    </xf>
    <xf numFmtId="0" fontId="0" fillId="3" borderId="0" xfId="0" applyFill="1" applyAlignment="1">
      <alignment vertical="center"/>
    </xf>
    <xf numFmtId="0" fontId="0" fillId="8" borderId="0" xfId="0" applyFill="1" applyAlignment="1">
      <alignment vertical="center"/>
    </xf>
    <xf numFmtId="0" fontId="0" fillId="9" borderId="0" xfId="0" applyFill="1"/>
    <xf numFmtId="0" fontId="0" fillId="9" borderId="0" xfId="0" applyFill="1" applyAlignment="1">
      <alignment vertical="center"/>
    </xf>
    <xf numFmtId="0" fontId="0" fillId="9" borderId="56" xfId="0" applyFill="1" applyBorder="1"/>
    <xf numFmtId="0" fontId="12" fillId="9" borderId="56" xfId="0" applyFont="1" applyFill="1" applyBorder="1" applyAlignment="1">
      <alignment vertical="center"/>
    </xf>
    <xf numFmtId="0" fontId="5" fillId="9" borderId="56" xfId="0" applyFont="1" applyFill="1" applyBorder="1" applyAlignment="1">
      <alignment horizontal="center" vertical="center" wrapText="1"/>
    </xf>
    <xf numFmtId="0" fontId="37" fillId="0" borderId="0" xfId="0" applyFont="1" applyBorder="1" applyAlignment="1">
      <alignment horizontal="center" vertical="center" wrapText="1"/>
    </xf>
    <xf numFmtId="0" fontId="5" fillId="9" borderId="56" xfId="0" applyFont="1" applyFill="1" applyBorder="1" applyAlignment="1">
      <alignment vertical="center" wrapText="1"/>
    </xf>
    <xf numFmtId="0" fontId="5" fillId="8" borderId="56" xfId="0" applyFont="1" applyFill="1" applyBorder="1" applyAlignment="1">
      <alignment vertical="center" wrapText="1"/>
    </xf>
    <xf numFmtId="2" fontId="0" fillId="8" borderId="56" xfId="0" applyNumberFormat="1" applyFill="1" applyBorder="1"/>
    <xf numFmtId="176" fontId="0" fillId="8" borderId="56" xfId="0" applyNumberFormat="1" applyFill="1" applyBorder="1"/>
    <xf numFmtId="0" fontId="5" fillId="8" borderId="86" xfId="0" applyFont="1" applyFill="1" applyBorder="1" applyAlignment="1">
      <alignment vertical="center" wrapText="1"/>
    </xf>
    <xf numFmtId="0" fontId="5" fillId="8" borderId="86" xfId="0" applyFont="1" applyFill="1" applyBorder="1" applyAlignment="1">
      <alignment horizontal="center" vertical="center" wrapText="1"/>
    </xf>
    <xf numFmtId="0" fontId="12" fillId="8" borderId="125" xfId="0" applyFont="1" applyFill="1" applyBorder="1"/>
    <xf numFmtId="0" fontId="12" fillId="8" borderId="104" xfId="0" applyFont="1" applyFill="1" applyBorder="1"/>
    <xf numFmtId="2" fontId="0" fillId="8" borderId="125" xfId="0" applyNumberFormat="1" applyFill="1" applyBorder="1"/>
    <xf numFmtId="2" fontId="0" fillId="8" borderId="104" xfId="0" applyNumberFormat="1" applyFill="1" applyBorder="1"/>
    <xf numFmtId="2" fontId="0" fillId="8" borderId="126" xfId="0" applyNumberFormat="1" applyFill="1" applyBorder="1"/>
    <xf numFmtId="2" fontId="0" fillId="8" borderId="105" xfId="0" applyNumberFormat="1" applyFill="1" applyBorder="1"/>
    <xf numFmtId="2" fontId="0" fillId="8" borderId="106" xfId="0" applyNumberFormat="1" applyFill="1" applyBorder="1"/>
    <xf numFmtId="176" fontId="0" fillId="8" borderId="125" xfId="0" applyNumberFormat="1" applyFill="1" applyBorder="1"/>
    <xf numFmtId="176" fontId="0" fillId="8" borderId="104" xfId="0" applyNumberFormat="1" applyFill="1" applyBorder="1"/>
    <xf numFmtId="176" fontId="0" fillId="8" borderId="126" xfId="0" applyNumberFormat="1" applyFill="1" applyBorder="1"/>
    <xf numFmtId="176" fontId="0" fillId="8" borderId="105" xfId="0" applyNumberFormat="1" applyFill="1" applyBorder="1"/>
    <xf numFmtId="176" fontId="0" fillId="8" borderId="106" xfId="0" applyNumberFormat="1" applyFill="1" applyBorder="1"/>
    <xf numFmtId="0" fontId="0" fillId="8" borderId="56" xfId="0" applyFill="1" applyBorder="1" applyAlignment="1">
      <alignment horizontal="center" vertical="center"/>
    </xf>
    <xf numFmtId="0" fontId="0" fillId="8" borderId="56" xfId="0" applyFill="1" applyBorder="1" applyAlignment="1">
      <alignment vertical="center"/>
    </xf>
    <xf numFmtId="176" fontId="0" fillId="8" borderId="121" xfId="0" applyNumberFormat="1" applyFill="1" applyBorder="1"/>
    <xf numFmtId="0" fontId="38" fillId="7" borderId="0" xfId="0" applyFont="1" applyFill="1"/>
    <xf numFmtId="0" fontId="0" fillId="7" borderId="0" xfId="0" applyFill="1"/>
    <xf numFmtId="177" fontId="0" fillId="0" borderId="0" xfId="0" applyNumberFormat="1"/>
    <xf numFmtId="177" fontId="0" fillId="8" borderId="56" xfId="0" applyNumberFormat="1" applyFill="1" applyBorder="1" applyAlignment="1">
      <alignment vertical="center"/>
    </xf>
    <xf numFmtId="176" fontId="0" fillId="0" borderId="0" xfId="0" applyNumberFormat="1"/>
    <xf numFmtId="0" fontId="5" fillId="0" borderId="2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vertical="center" wrapText="1"/>
    </xf>
    <xf numFmtId="0" fontId="0" fillId="0" borderId="53" xfId="0" applyBorder="1" applyAlignment="1">
      <alignment vertical="center" wrapText="1"/>
    </xf>
    <xf numFmtId="0" fontId="5" fillId="0" borderId="45" xfId="0" applyFont="1" applyBorder="1" applyAlignment="1">
      <alignment horizontal="center" vertical="center" wrapText="1"/>
    </xf>
    <xf numFmtId="0" fontId="40" fillId="0" borderId="75" xfId="0" applyFont="1" applyBorder="1" applyAlignment="1">
      <alignment horizontal="center" vertical="center" wrapText="1"/>
    </xf>
    <xf numFmtId="0" fontId="39" fillId="0" borderId="45" xfId="0" applyFont="1" applyBorder="1" applyAlignment="1">
      <alignment horizontal="center" vertical="center" wrapText="1"/>
    </xf>
    <xf numFmtId="0" fontId="39" fillId="0" borderId="38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40" fillId="0" borderId="79" xfId="0" applyFont="1" applyBorder="1" applyAlignment="1">
      <alignment horizontal="center" vertical="center" wrapText="1"/>
    </xf>
    <xf numFmtId="0" fontId="39" fillId="0" borderId="12" xfId="0" applyFont="1" applyBorder="1" applyAlignment="1">
      <alignment horizontal="center" vertical="center" wrapText="1"/>
    </xf>
    <xf numFmtId="0" fontId="39" fillId="0" borderId="15" xfId="0" applyFont="1" applyBorder="1" applyAlignment="1">
      <alignment horizontal="center" vertical="center" wrapText="1"/>
    </xf>
    <xf numFmtId="0" fontId="5" fillId="0" borderId="53" xfId="0" applyFont="1" applyBorder="1" applyAlignment="1">
      <alignment horizontal="center" vertical="center" wrapText="1"/>
    </xf>
    <xf numFmtId="0" fontId="40" fillId="0" borderId="80" xfId="0" applyFont="1" applyBorder="1" applyAlignment="1">
      <alignment horizontal="center" vertical="center" wrapText="1"/>
    </xf>
    <xf numFmtId="0" fontId="39" fillId="0" borderId="53" xfId="0" applyFont="1" applyBorder="1" applyAlignment="1">
      <alignment horizontal="center" vertical="center" wrapText="1"/>
    </xf>
    <xf numFmtId="0" fontId="39" fillId="0" borderId="127" xfId="0" applyFont="1" applyBorder="1" applyAlignment="1">
      <alignment horizontal="center" vertical="center" wrapText="1"/>
    </xf>
    <xf numFmtId="0" fontId="5" fillId="0" borderId="128" xfId="0" applyFont="1" applyBorder="1" applyAlignment="1">
      <alignment horizontal="center" vertical="center" wrapText="1"/>
    </xf>
    <xf numFmtId="0" fontId="5" fillId="0" borderId="129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10" borderId="12" xfId="0" applyFont="1" applyFill="1" applyBorder="1" applyAlignment="1">
      <alignment horizontal="center" vertical="center" wrapText="1"/>
    </xf>
    <xf numFmtId="0" fontId="40" fillId="10" borderId="79" xfId="0" applyFont="1" applyFill="1" applyBorder="1" applyAlignment="1">
      <alignment horizontal="center" vertical="center" wrapText="1"/>
    </xf>
    <xf numFmtId="0" fontId="39" fillId="10" borderId="12" xfId="0" applyFont="1" applyFill="1" applyBorder="1" applyAlignment="1">
      <alignment horizontal="center" vertical="center" wrapText="1"/>
    </xf>
    <xf numFmtId="0" fontId="39" fillId="10" borderId="15" xfId="0" applyFont="1" applyFill="1" applyBorder="1" applyAlignment="1">
      <alignment horizontal="center" vertical="center" wrapText="1"/>
    </xf>
    <xf numFmtId="0" fontId="41" fillId="0" borderId="0" xfId="0" applyFont="1"/>
    <xf numFmtId="0" fontId="40" fillId="0" borderId="27" xfId="0" applyFont="1" applyBorder="1" applyAlignment="1">
      <alignment horizontal="center" vertical="center" wrapText="1"/>
    </xf>
    <xf numFmtId="0" fontId="40" fillId="0" borderId="40" xfId="0" applyFont="1" applyBorder="1" applyAlignment="1">
      <alignment horizontal="center" vertical="center" wrapText="1"/>
    </xf>
    <xf numFmtId="0" fontId="5" fillId="0" borderId="75" xfId="0" applyFont="1" applyBorder="1" applyAlignment="1">
      <alignment horizontal="center" vertical="center" wrapText="1"/>
    </xf>
    <xf numFmtId="0" fontId="40" fillId="0" borderId="35" xfId="0" applyFont="1" applyBorder="1" applyAlignment="1">
      <alignment horizontal="center" vertical="center" wrapText="1"/>
    </xf>
    <xf numFmtId="0" fontId="40" fillId="0" borderId="48" xfId="0" applyFont="1" applyBorder="1" applyAlignment="1">
      <alignment horizontal="center" vertical="center" wrapText="1"/>
    </xf>
    <xf numFmtId="0" fontId="5" fillId="10" borderId="26" xfId="0" applyFont="1" applyFill="1" applyBorder="1" applyAlignment="1">
      <alignment horizontal="center" vertical="center" wrapText="1"/>
    </xf>
    <xf numFmtId="0" fontId="40" fillId="10" borderId="27" xfId="0" applyFont="1" applyFill="1" applyBorder="1" applyAlignment="1">
      <alignment horizontal="center" vertical="center" wrapText="1"/>
    </xf>
    <xf numFmtId="0" fontId="40" fillId="10" borderId="40" xfId="0" applyFont="1" applyFill="1" applyBorder="1" applyAlignment="1">
      <alignment horizontal="center" vertical="center" wrapText="1"/>
    </xf>
    <xf numFmtId="0" fontId="0" fillId="10" borderId="0" xfId="0" applyFill="1"/>
    <xf numFmtId="0" fontId="12" fillId="10" borderId="56" xfId="0" applyFont="1" applyFill="1" applyBorder="1"/>
    <xf numFmtId="0" fontId="5" fillId="10" borderId="56" xfId="0" applyFont="1" applyFill="1" applyBorder="1" applyAlignment="1">
      <alignment vertical="center" wrapText="1"/>
    </xf>
    <xf numFmtId="0" fontId="5" fillId="10" borderId="86" xfId="0" applyFont="1" applyFill="1" applyBorder="1" applyAlignment="1">
      <alignment vertical="center" wrapText="1"/>
    </xf>
    <xf numFmtId="2" fontId="0" fillId="10" borderId="56" xfId="0" applyNumberFormat="1" applyFill="1" applyBorder="1"/>
    <xf numFmtId="2" fontId="0" fillId="10" borderId="125" xfId="0" applyNumberFormat="1" applyFill="1" applyBorder="1"/>
    <xf numFmtId="176" fontId="0" fillId="10" borderId="125" xfId="0" applyNumberFormat="1" applyFill="1" applyBorder="1"/>
    <xf numFmtId="176" fontId="0" fillId="10" borderId="56" xfId="0" applyNumberFormat="1" applyFill="1" applyBorder="1"/>
    <xf numFmtId="0" fontId="5" fillId="10" borderId="86" xfId="0" applyFont="1" applyFill="1" applyBorder="1" applyAlignment="1">
      <alignment horizontal="center" vertical="center" wrapText="1"/>
    </xf>
    <xf numFmtId="2" fontId="0" fillId="10" borderId="126" xfId="0" applyNumberFormat="1" applyFill="1" applyBorder="1"/>
    <xf numFmtId="2" fontId="0" fillId="10" borderId="105" xfId="0" applyNumberFormat="1" applyFill="1" applyBorder="1"/>
    <xf numFmtId="176" fontId="0" fillId="10" borderId="126" xfId="0" applyNumberFormat="1" applyFill="1" applyBorder="1"/>
    <xf numFmtId="176" fontId="0" fillId="10" borderId="105" xfId="0" applyNumberFormat="1" applyFill="1" applyBorder="1"/>
    <xf numFmtId="0" fontId="13" fillId="4" borderId="56" xfId="0" applyFont="1" applyFill="1" applyBorder="1" applyAlignment="1">
      <alignment horizontal="center" vertical="center" wrapText="1"/>
    </xf>
    <xf numFmtId="178" fontId="0" fillId="0" borderId="0" xfId="1" applyNumberFormat="1" applyFont="1" applyAlignment="1"/>
    <xf numFmtId="0" fontId="0" fillId="11" borderId="0" xfId="0" applyFill="1"/>
    <xf numFmtId="0" fontId="12" fillId="11" borderId="0" xfId="0" applyFont="1" applyFill="1"/>
    <xf numFmtId="0" fontId="12" fillId="11" borderId="121" xfId="0" applyFont="1" applyFill="1" applyBorder="1"/>
    <xf numFmtId="176" fontId="0" fillId="11" borderId="0" xfId="0" applyNumberFormat="1" applyFill="1"/>
    <xf numFmtId="0" fontId="5" fillId="7" borderId="0" xfId="0" applyFont="1" applyFill="1" applyBorder="1" applyAlignment="1">
      <alignment horizontal="center" vertical="center" wrapText="1"/>
    </xf>
    <xf numFmtId="0" fontId="1" fillId="7" borderId="0" xfId="0" applyFont="1" applyFill="1" applyBorder="1" applyAlignment="1">
      <alignment horizontal="center" vertical="center" wrapText="1"/>
    </xf>
    <xf numFmtId="3" fontId="1" fillId="7" borderId="0" xfId="0" applyNumberFormat="1" applyFont="1" applyFill="1" applyBorder="1" applyAlignment="1">
      <alignment horizontal="center" vertical="center" wrapText="1"/>
    </xf>
    <xf numFmtId="0" fontId="43" fillId="7" borderId="0" xfId="0" applyFont="1" applyFill="1" applyBorder="1" applyAlignment="1">
      <alignment horizontal="center" vertical="center" wrapText="1"/>
    </xf>
    <xf numFmtId="0" fontId="12" fillId="11" borderId="89" xfId="0" applyFont="1" applyFill="1" applyBorder="1"/>
    <xf numFmtId="0" fontId="12" fillId="11" borderId="90" xfId="0" applyFont="1" applyFill="1" applyBorder="1"/>
    <xf numFmtId="0" fontId="12" fillId="11" borderId="95" xfId="0" applyFont="1" applyFill="1" applyBorder="1"/>
    <xf numFmtId="0" fontId="12" fillId="11" borderId="131" xfId="0" applyFont="1" applyFill="1" applyBorder="1"/>
    <xf numFmtId="176" fontId="12" fillId="11" borderId="0" xfId="0" applyNumberFormat="1" applyFont="1" applyFill="1" applyBorder="1"/>
    <xf numFmtId="176" fontId="12" fillId="11" borderId="98" xfId="0" applyNumberFormat="1" applyFont="1" applyFill="1" applyBorder="1"/>
    <xf numFmtId="0" fontId="12" fillId="11" borderId="132" xfId="0" applyFont="1" applyFill="1" applyBorder="1"/>
    <xf numFmtId="9" fontId="12" fillId="11" borderId="0" xfId="0" applyNumberFormat="1" applyFont="1" applyFill="1"/>
    <xf numFmtId="0" fontId="13" fillId="4" borderId="56" xfId="0" applyFont="1" applyFill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3" fontId="1" fillId="0" borderId="0" xfId="0" applyNumberFormat="1" applyFont="1" applyFill="1" applyBorder="1" applyAlignment="1">
      <alignment horizontal="center" vertical="center" wrapText="1"/>
    </xf>
    <xf numFmtId="0" fontId="14" fillId="0" borderId="0" xfId="0" applyFont="1" applyFill="1" applyBorder="1" applyAlignment="1">
      <alignment horizontal="center" vertical="center" wrapText="1"/>
    </xf>
    <xf numFmtId="2" fontId="0" fillId="8" borderId="88" xfId="0" applyNumberFormat="1" applyFill="1" applyBorder="1"/>
    <xf numFmtId="176" fontId="0" fillId="8" borderId="88" xfId="0" applyNumberFormat="1" applyFill="1" applyBorder="1"/>
    <xf numFmtId="179" fontId="0" fillId="8" borderId="121" xfId="0" applyNumberFormat="1" applyFill="1" applyBorder="1"/>
    <xf numFmtId="0" fontId="0" fillId="11" borderId="56" xfId="0" applyFill="1" applyBorder="1"/>
    <xf numFmtId="0" fontId="12" fillId="11" borderId="56" xfId="0" applyFont="1" applyFill="1" applyBorder="1"/>
    <xf numFmtId="1" fontId="12" fillId="11" borderId="56" xfId="0" applyNumberFormat="1" applyFont="1" applyFill="1" applyBorder="1"/>
    <xf numFmtId="176" fontId="0" fillId="5" borderId="0" xfId="0" applyNumberFormat="1" applyFill="1"/>
    <xf numFmtId="1" fontId="0" fillId="0" borderId="0" xfId="0" applyNumberFormat="1"/>
    <xf numFmtId="0" fontId="23" fillId="0" borderId="8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vertical="center" wrapText="1"/>
    </xf>
    <xf numFmtId="0" fontId="23" fillId="0" borderId="41" xfId="0" applyFont="1" applyBorder="1" applyAlignment="1">
      <alignment vertical="center" wrapText="1"/>
    </xf>
    <xf numFmtId="0" fontId="23" fillId="0" borderId="8" xfId="0" applyFont="1" applyBorder="1" applyAlignment="1">
      <alignment vertical="center" wrapText="1"/>
    </xf>
    <xf numFmtId="0" fontId="23" fillId="0" borderId="79" xfId="0" applyFont="1" applyBorder="1" applyAlignment="1">
      <alignment vertical="center" wrapText="1"/>
    </xf>
    <xf numFmtId="0" fontId="23" fillId="0" borderId="101" xfId="0" applyFont="1" applyBorder="1" applyAlignment="1">
      <alignment vertical="center" wrapText="1"/>
    </xf>
    <xf numFmtId="0" fontId="23" fillId="0" borderId="102" xfId="0" applyFont="1" applyBorder="1" applyAlignment="1">
      <alignment vertical="center" wrapText="1"/>
    </xf>
    <xf numFmtId="0" fontId="0" fillId="5" borderId="56" xfId="0" applyFill="1" applyBorder="1"/>
    <xf numFmtId="0" fontId="12" fillId="5" borderId="56" xfId="0" applyFont="1" applyFill="1" applyBorder="1"/>
    <xf numFmtId="1" fontId="12" fillId="5" borderId="56" xfId="0" applyNumberFormat="1" applyFont="1" applyFill="1" applyBorder="1"/>
    <xf numFmtId="0" fontId="0" fillId="5" borderId="138" xfId="0" applyFill="1" applyBorder="1"/>
    <xf numFmtId="1" fontId="0" fillId="11" borderId="0" xfId="0" applyNumberFormat="1" applyFill="1"/>
    <xf numFmtId="1" fontId="0" fillId="5" borderId="0" xfId="0" applyNumberFormat="1" applyFill="1"/>
    <xf numFmtId="0" fontId="44" fillId="5" borderId="97" xfId="0" applyFont="1" applyFill="1" applyBorder="1" applyAlignment="1">
      <alignment vertical="center" wrapText="1"/>
    </xf>
    <xf numFmtId="0" fontId="45" fillId="7" borderId="0" xfId="0" applyFont="1" applyFill="1" applyBorder="1" applyAlignment="1">
      <alignment horizontal="center" vertical="center"/>
    </xf>
    <xf numFmtId="0" fontId="31" fillId="0" borderId="30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13" fillId="4" borderId="60" xfId="0" applyFont="1" applyFill="1" applyBorder="1" applyAlignment="1">
      <alignment horizontal="center" vertical="center" wrapText="1"/>
    </xf>
    <xf numFmtId="0" fontId="13" fillId="4" borderId="141" xfId="0" applyFont="1" applyFill="1" applyBorder="1" applyAlignment="1">
      <alignment horizontal="center" vertical="center" wrapText="1"/>
    </xf>
    <xf numFmtId="180" fontId="0" fillId="0" borderId="0" xfId="0" applyNumberFormat="1"/>
    <xf numFmtId="0" fontId="29" fillId="0" borderId="144" xfId="0" applyFont="1" applyBorder="1" applyAlignment="1">
      <alignment horizontal="center" vertical="center" wrapText="1"/>
    </xf>
    <xf numFmtId="0" fontId="29" fillId="0" borderId="17" xfId="0" applyFont="1" applyBorder="1" applyAlignment="1">
      <alignment horizontal="center" vertical="center" wrapText="1"/>
    </xf>
    <xf numFmtId="0" fontId="29" fillId="0" borderId="18" xfId="0" applyFont="1" applyBorder="1" applyAlignment="1">
      <alignment horizontal="center" vertical="center" wrapText="1"/>
    </xf>
    <xf numFmtId="4" fontId="17" fillId="0" borderId="112" xfId="0" applyNumberFormat="1" applyFont="1" applyBorder="1" applyAlignment="1">
      <alignment horizontal="center" vertical="center" wrapText="1"/>
    </xf>
    <xf numFmtId="0" fontId="17" fillId="0" borderId="22" xfId="0" applyFont="1" applyBorder="1" applyAlignment="1">
      <alignment horizontal="center" vertical="center" wrapText="1"/>
    </xf>
    <xf numFmtId="3" fontId="17" fillId="0" borderId="23" xfId="0" applyNumberFormat="1" applyFont="1" applyBorder="1" applyAlignment="1">
      <alignment horizontal="center" vertical="center" wrapText="1"/>
    </xf>
    <xf numFmtId="4" fontId="17" fillId="0" borderId="108" xfId="0" applyNumberFormat="1" applyFont="1" applyBorder="1" applyAlignment="1">
      <alignment horizontal="center" vertical="center" wrapText="1"/>
    </xf>
    <xf numFmtId="3" fontId="17" fillId="0" borderId="27" xfId="0" applyNumberFormat="1" applyFont="1" applyBorder="1" applyAlignment="1">
      <alignment horizontal="center" vertical="center" wrapText="1"/>
    </xf>
    <xf numFmtId="3" fontId="17" fillId="0" borderId="28" xfId="0" applyNumberFormat="1" applyFont="1" applyBorder="1" applyAlignment="1">
      <alignment horizontal="center" vertical="center" wrapText="1"/>
    </xf>
    <xf numFmtId="0" fontId="17" fillId="0" borderId="27" xfId="0" applyFont="1" applyBorder="1" applyAlignment="1">
      <alignment horizontal="center" vertical="center" wrapText="1"/>
    </xf>
    <xf numFmtId="0" fontId="16" fillId="4" borderId="107" xfId="0" applyFont="1" applyFill="1" applyBorder="1" applyAlignment="1">
      <alignment horizontal="center" vertical="center" wrapText="1"/>
    </xf>
    <xf numFmtId="3" fontId="16" fillId="4" borderId="35" xfId="0" applyNumberFormat="1" applyFont="1" applyFill="1" applyBorder="1" applyAlignment="1">
      <alignment horizontal="center" vertical="center" wrapText="1"/>
    </xf>
    <xf numFmtId="3" fontId="16" fillId="4" borderId="36" xfId="0" applyNumberFormat="1" applyFont="1" applyFill="1" applyBorder="1" applyAlignment="1">
      <alignment horizontal="center" vertical="center" wrapText="1"/>
    </xf>
    <xf numFmtId="0" fontId="0" fillId="0" borderId="30" xfId="0" applyBorder="1" applyAlignment="1">
      <alignment vertical="center" wrapText="1"/>
    </xf>
    <xf numFmtId="0" fontId="29" fillId="0" borderId="145" xfId="0" applyFont="1" applyBorder="1" applyAlignment="1">
      <alignment horizontal="center" vertical="center" wrapText="1"/>
    </xf>
    <xf numFmtId="3" fontId="17" fillId="0" borderId="108" xfId="0" applyNumberFormat="1" applyFont="1" applyBorder="1" applyAlignment="1">
      <alignment horizontal="center" vertical="center" wrapText="1"/>
    </xf>
    <xf numFmtId="0" fontId="46" fillId="0" borderId="0" xfId="0" applyFont="1"/>
    <xf numFmtId="3" fontId="0" fillId="9" borderId="56" xfId="0" applyNumberFormat="1" applyFill="1" applyBorder="1"/>
    <xf numFmtId="0" fontId="38" fillId="0" borderId="0" xfId="0" applyFont="1"/>
    <xf numFmtId="0" fontId="5" fillId="0" borderId="19" xfId="0" applyFont="1" applyBorder="1" applyAlignment="1">
      <alignment horizontal="center" vertical="center" wrapText="1"/>
    </xf>
    <xf numFmtId="9" fontId="0" fillId="0" borderId="0" xfId="0" applyNumberFormat="1"/>
    <xf numFmtId="9" fontId="1" fillId="0" borderId="22" xfId="0" applyNumberFormat="1" applyFont="1" applyBorder="1" applyAlignment="1">
      <alignment horizontal="center" vertical="center" wrapText="1"/>
    </xf>
    <xf numFmtId="10" fontId="1" fillId="0" borderId="23" xfId="0" applyNumberFormat="1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9" fontId="1" fillId="0" borderId="35" xfId="0" applyNumberFormat="1" applyFont="1" applyBorder="1" applyAlignment="1">
      <alignment horizontal="center" vertical="center" wrapText="1"/>
    </xf>
    <xf numFmtId="10" fontId="1" fillId="0" borderId="36" xfId="0" applyNumberFormat="1" applyFont="1" applyBorder="1" applyAlignment="1">
      <alignment horizontal="center" vertical="center" wrapText="1"/>
    </xf>
    <xf numFmtId="0" fontId="0" fillId="0" borderId="0" xfId="0" applyAlignment="1"/>
    <xf numFmtId="0" fontId="0" fillId="0" borderId="56" xfId="0" applyFill="1" applyBorder="1"/>
    <xf numFmtId="0" fontId="25" fillId="0" borderId="0" xfId="0" applyFont="1"/>
    <xf numFmtId="9" fontId="0" fillId="0" borderId="56" xfId="1" applyFont="1" applyBorder="1" applyAlignment="1"/>
    <xf numFmtId="9" fontId="0" fillId="11" borderId="56" xfId="1" applyFont="1" applyFill="1" applyBorder="1" applyAlignment="1"/>
    <xf numFmtId="9" fontId="12" fillId="11" borderId="56" xfId="1" applyFont="1" applyFill="1" applyBorder="1" applyAlignment="1"/>
    <xf numFmtId="10" fontId="12" fillId="0" borderId="0" xfId="1" applyNumberFormat="1" applyFont="1" applyAlignment="1"/>
    <xf numFmtId="0" fontId="0" fillId="0" borderId="56" xfId="1" applyNumberFormat="1" applyFont="1" applyBorder="1" applyAlignment="1"/>
    <xf numFmtId="0" fontId="0" fillId="11" borderId="56" xfId="1" applyNumberFormat="1" applyFont="1" applyFill="1" applyBorder="1" applyAlignment="1"/>
    <xf numFmtId="0" fontId="0" fillId="0" borderId="56" xfId="1" applyNumberFormat="1" applyFont="1" applyFill="1" applyBorder="1" applyAlignment="1"/>
    <xf numFmtId="9" fontId="0" fillId="0" borderId="56" xfId="1" applyFont="1" applyFill="1" applyBorder="1" applyAlignment="1"/>
    <xf numFmtId="9" fontId="47" fillId="11" borderId="56" xfId="1" applyFont="1" applyFill="1" applyBorder="1" applyAlignment="1"/>
    <xf numFmtId="0" fontId="12" fillId="3" borderId="56" xfId="0" applyFont="1" applyFill="1" applyBorder="1"/>
    <xf numFmtId="0" fontId="12" fillId="3" borderId="89" xfId="0" applyFont="1" applyFill="1" applyBorder="1"/>
    <xf numFmtId="0" fontId="12" fillId="3" borderId="90" xfId="0" applyFont="1" applyFill="1" applyBorder="1"/>
    <xf numFmtId="0" fontId="12" fillId="3" borderId="95" xfId="0" applyFont="1" applyFill="1" applyBorder="1"/>
    <xf numFmtId="0" fontId="12" fillId="3" borderId="131" xfId="0" applyFont="1" applyFill="1" applyBorder="1"/>
    <xf numFmtId="3" fontId="1" fillId="3" borderId="35" xfId="0" applyNumberFormat="1" applyFont="1" applyFill="1" applyBorder="1" applyAlignment="1">
      <alignment horizontal="center" vertical="center" wrapText="1"/>
    </xf>
    <xf numFmtId="3" fontId="1" fillId="3" borderId="36" xfId="0" applyNumberFormat="1" applyFont="1" applyFill="1" applyBorder="1" applyAlignment="1">
      <alignment horizontal="center" vertical="center" wrapText="1"/>
    </xf>
    <xf numFmtId="9" fontId="0" fillId="9" borderId="56" xfId="1" applyFont="1" applyFill="1" applyBorder="1" applyAlignment="1"/>
    <xf numFmtId="178" fontId="0" fillId="0" borderId="0" xfId="0" applyNumberFormat="1"/>
    <xf numFmtId="0" fontId="0" fillId="11" borderId="86" xfId="0" applyFill="1" applyBorder="1"/>
    <xf numFmtId="178" fontId="0" fillId="11" borderId="86" xfId="1" applyNumberFormat="1" applyFont="1" applyFill="1" applyBorder="1" applyAlignment="1"/>
    <xf numFmtId="0" fontId="12" fillId="11" borderId="122" xfId="0" applyFont="1" applyFill="1" applyBorder="1"/>
    <xf numFmtId="0" fontId="12" fillId="11" borderId="147" xfId="0" applyFont="1" applyFill="1" applyBorder="1"/>
    <xf numFmtId="0" fontId="12" fillId="11" borderId="125" xfId="0" applyFont="1" applyFill="1" applyBorder="1"/>
    <xf numFmtId="0" fontId="12" fillId="11" borderId="126" xfId="0" applyFont="1" applyFill="1" applyBorder="1"/>
    <xf numFmtId="0" fontId="0" fillId="3" borderId="86" xfId="0" applyFill="1" applyBorder="1"/>
    <xf numFmtId="0" fontId="12" fillId="3" borderId="122" xfId="0" applyFont="1" applyFill="1" applyBorder="1"/>
    <xf numFmtId="0" fontId="12" fillId="3" borderId="147" xfId="0" applyFont="1" applyFill="1" applyBorder="1"/>
    <xf numFmtId="178" fontId="0" fillId="3" borderId="86" xfId="1" applyNumberFormat="1" applyFont="1" applyFill="1" applyBorder="1" applyAlignment="1"/>
    <xf numFmtId="0" fontId="12" fillId="3" borderId="125" xfId="0" applyFont="1" applyFill="1" applyBorder="1"/>
    <xf numFmtId="0" fontId="12" fillId="3" borderId="126" xfId="0" applyFont="1" applyFill="1" applyBorder="1"/>
    <xf numFmtId="0" fontId="0" fillId="12" borderId="0" xfId="0" applyFill="1"/>
    <xf numFmtId="0" fontId="38" fillId="12" borderId="0" xfId="0" applyFont="1" applyFill="1"/>
    <xf numFmtId="0" fontId="41" fillId="12" borderId="0" xfId="0" applyFont="1" applyFill="1"/>
    <xf numFmtId="0" fontId="12" fillId="13" borderId="98" xfId="0" applyFont="1" applyFill="1" applyBorder="1"/>
    <xf numFmtId="0" fontId="12" fillId="13" borderId="148" xfId="0" applyFont="1" applyFill="1" applyBorder="1"/>
    <xf numFmtId="0" fontId="0" fillId="13" borderId="56" xfId="0" applyFill="1" applyBorder="1"/>
    <xf numFmtId="176" fontId="12" fillId="13" borderId="0" xfId="0" applyNumberFormat="1" applyFont="1" applyFill="1" applyBorder="1"/>
    <xf numFmtId="176" fontId="12" fillId="13" borderId="98" xfId="0" applyNumberFormat="1" applyFont="1" applyFill="1" applyBorder="1"/>
    <xf numFmtId="0" fontId="0" fillId="13" borderId="0" xfId="0" applyFill="1"/>
    <xf numFmtId="1" fontId="12" fillId="13" borderId="56" xfId="0" applyNumberFormat="1" applyFont="1" applyFill="1" applyBorder="1"/>
    <xf numFmtId="1" fontId="12" fillId="13" borderId="0" xfId="0" applyNumberFormat="1" applyFont="1" applyFill="1"/>
    <xf numFmtId="0" fontId="1" fillId="13" borderId="56" xfId="0" applyFont="1" applyFill="1" applyBorder="1" applyAlignment="1">
      <alignment horizontal="center" vertical="center" wrapText="1"/>
    </xf>
    <xf numFmtId="3" fontId="1" fillId="13" borderId="56" xfId="0" applyNumberFormat="1" applyFont="1" applyFill="1" applyBorder="1" applyAlignment="1">
      <alignment horizontal="center" vertical="center" wrapText="1"/>
    </xf>
    <xf numFmtId="0" fontId="14" fillId="13" borderId="56" xfId="0" applyFont="1" applyFill="1" applyBorder="1" applyAlignment="1">
      <alignment horizontal="center" vertical="center" wrapText="1"/>
    </xf>
    <xf numFmtId="3" fontId="14" fillId="13" borderId="56" xfId="0" applyNumberFormat="1" applyFont="1" applyFill="1" applyBorder="1" applyAlignment="1">
      <alignment horizontal="center" vertical="center" wrapText="1"/>
    </xf>
    <xf numFmtId="181" fontId="0" fillId="0" borderId="0" xfId="0" applyNumberFormat="1" applyAlignment="1">
      <alignment vertical="center"/>
    </xf>
    <xf numFmtId="182" fontId="0" fillId="0" borderId="0" xfId="0" applyNumberFormat="1" applyAlignment="1">
      <alignment vertical="center"/>
    </xf>
    <xf numFmtId="0" fontId="0" fillId="14" borderId="0" xfId="0" applyFill="1"/>
    <xf numFmtId="0" fontId="12" fillId="14" borderId="131" xfId="0" applyFont="1" applyFill="1" applyBorder="1"/>
    <xf numFmtId="176" fontId="12" fillId="14" borderId="0" xfId="0" applyNumberFormat="1" applyFont="1" applyFill="1" applyBorder="1"/>
    <xf numFmtId="176" fontId="12" fillId="14" borderId="98" xfId="0" applyNumberFormat="1" applyFont="1" applyFill="1" applyBorder="1"/>
    <xf numFmtId="0" fontId="12" fillId="14" borderId="132" xfId="0" applyFont="1" applyFill="1" applyBorder="1"/>
    <xf numFmtId="0" fontId="12" fillId="14" borderId="89" xfId="0" applyFont="1" applyFill="1" applyBorder="1"/>
    <xf numFmtId="0" fontId="12" fillId="14" borderId="90" xfId="0" applyFont="1" applyFill="1" applyBorder="1"/>
    <xf numFmtId="0" fontId="12" fillId="14" borderId="95" xfId="0" applyFont="1" applyFill="1" applyBorder="1"/>
    <xf numFmtId="0" fontId="0" fillId="14" borderId="56" xfId="0" applyFill="1" applyBorder="1"/>
    <xf numFmtId="0" fontId="12" fillId="14" borderId="56" xfId="0" applyFont="1" applyFill="1" applyBorder="1"/>
    <xf numFmtId="1" fontId="12" fillId="14" borderId="56" xfId="0" applyNumberFormat="1" applyFont="1" applyFill="1" applyBorder="1"/>
    <xf numFmtId="1" fontId="0" fillId="14" borderId="0" xfId="0" applyNumberFormat="1" applyFill="1"/>
    <xf numFmtId="0" fontId="12" fillId="14" borderId="138" xfId="0" applyFont="1" applyFill="1" applyBorder="1"/>
    <xf numFmtId="0" fontId="38" fillId="7" borderId="0" xfId="2" applyFont="1" applyFill="1">
      <alignment vertical="center"/>
    </xf>
    <xf numFmtId="0" fontId="48" fillId="7" borderId="0" xfId="2" applyFill="1">
      <alignment vertical="center"/>
    </xf>
    <xf numFmtId="0" fontId="48" fillId="0" borderId="0" xfId="2">
      <alignment vertical="center"/>
    </xf>
    <xf numFmtId="0" fontId="12" fillId="3" borderId="0" xfId="2" applyFont="1" applyFill="1">
      <alignment vertical="center"/>
    </xf>
    <xf numFmtId="0" fontId="48" fillId="0" borderId="0" xfId="2" applyAlignment="1">
      <alignment vertical="center" wrapText="1"/>
    </xf>
    <xf numFmtId="0" fontId="48" fillId="0" borderId="0" xfId="2" quotePrefix="1">
      <alignment vertical="center"/>
    </xf>
    <xf numFmtId="1" fontId="0" fillId="15" borderId="0" xfId="0" applyNumberFormat="1" applyFill="1"/>
    <xf numFmtId="0" fontId="0" fillId="15" borderId="0" xfId="0" applyFill="1"/>
    <xf numFmtId="0" fontId="12" fillId="0" borderId="0" xfId="0" applyFont="1" applyAlignment="1">
      <alignment vertical="center"/>
    </xf>
    <xf numFmtId="182" fontId="0" fillId="0" borderId="0" xfId="0" quotePrefix="1" applyNumberFormat="1" applyAlignment="1">
      <alignment vertical="center"/>
    </xf>
    <xf numFmtId="0" fontId="0" fillId="16" borderId="56" xfId="0" applyFill="1" applyBorder="1"/>
    <xf numFmtId="0" fontId="0" fillId="16" borderId="56" xfId="1" applyNumberFormat="1" applyFont="1" applyFill="1" applyBorder="1" applyAlignment="1"/>
    <xf numFmtId="9" fontId="0" fillId="16" borderId="56" xfId="1" applyFont="1" applyFill="1" applyBorder="1" applyAlignment="1"/>
    <xf numFmtId="0" fontId="12" fillId="10" borderId="133" xfId="0" applyFont="1" applyFill="1" applyBorder="1" applyAlignment="1">
      <alignment horizontal="center" vertical="center"/>
    </xf>
    <xf numFmtId="0" fontId="12" fillId="10" borderId="134" xfId="0" applyFont="1" applyFill="1" applyBorder="1" applyAlignment="1">
      <alignment horizontal="center" vertical="center"/>
    </xf>
    <xf numFmtId="0" fontId="12" fillId="10" borderId="136" xfId="0" applyFont="1" applyFill="1" applyBorder="1" applyAlignment="1">
      <alignment horizontal="center" vertical="center"/>
    </xf>
    <xf numFmtId="0" fontId="12" fillId="10" borderId="135" xfId="0" applyFont="1" applyFill="1" applyBorder="1" applyAlignment="1">
      <alignment horizontal="center" vertical="center"/>
    </xf>
    <xf numFmtId="0" fontId="0" fillId="11" borderId="0" xfId="0" applyFill="1" applyAlignment="1">
      <alignment horizontal="center"/>
    </xf>
    <xf numFmtId="0" fontId="12" fillId="8" borderId="133" xfId="0" applyFont="1" applyFill="1" applyBorder="1" applyAlignment="1">
      <alignment horizontal="center" vertical="center"/>
    </xf>
    <xf numFmtId="0" fontId="12" fillId="8" borderId="134" xfId="0" applyFont="1" applyFill="1" applyBorder="1" applyAlignment="1">
      <alignment horizontal="center" vertical="center"/>
    </xf>
    <xf numFmtId="0" fontId="12" fillId="8" borderId="136" xfId="0" applyFont="1" applyFill="1" applyBorder="1" applyAlignment="1">
      <alignment horizontal="center" vertical="center"/>
    </xf>
    <xf numFmtId="0" fontId="12" fillId="10" borderId="137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29" fillId="0" borderId="1" xfId="0" applyFont="1" applyBorder="1" applyAlignment="1">
      <alignment horizontal="center" vertical="center" wrapText="1"/>
    </xf>
    <xf numFmtId="0" fontId="29" fillId="0" borderId="142" xfId="0" applyFont="1" applyBorder="1" applyAlignment="1">
      <alignment horizontal="center" vertical="center" wrapText="1"/>
    </xf>
    <xf numFmtId="0" fontId="29" fillId="0" borderId="5" xfId="0" applyFont="1" applyBorder="1" applyAlignment="1">
      <alignment horizontal="center" vertical="center" wrapText="1"/>
    </xf>
    <xf numFmtId="0" fontId="29" fillId="0" borderId="143" xfId="0" applyFont="1" applyBorder="1" applyAlignment="1">
      <alignment horizontal="center" vertical="center" wrapText="1"/>
    </xf>
    <xf numFmtId="0" fontId="16" fillId="0" borderId="37" xfId="0" applyFont="1" applyBorder="1" applyAlignment="1">
      <alignment horizontal="center" vertical="center" wrapText="1"/>
    </xf>
    <xf numFmtId="0" fontId="16" fillId="0" borderId="38" xfId="0" applyFont="1" applyBorder="1" applyAlignment="1">
      <alignment horizontal="center" vertical="center" wrapText="1"/>
    </xf>
    <xf numFmtId="0" fontId="16" fillId="0" borderId="39" xfId="0" applyFont="1" applyBorder="1" applyAlignment="1">
      <alignment horizontal="center" vertical="center" wrapText="1"/>
    </xf>
    <xf numFmtId="0" fontId="16" fillId="4" borderId="33" xfId="0" applyFont="1" applyFill="1" applyBorder="1" applyAlignment="1">
      <alignment horizontal="center" vertical="center" wrapText="1"/>
    </xf>
    <xf numFmtId="0" fontId="16" fillId="4" borderId="146" xfId="0" applyFont="1" applyFill="1" applyBorder="1" applyAlignment="1">
      <alignment horizontal="center" vertical="center" wrapText="1"/>
    </xf>
    <xf numFmtId="0" fontId="29" fillId="0" borderId="144" xfId="0" applyFont="1" applyBorder="1" applyAlignment="1">
      <alignment horizontal="center" vertical="center" wrapText="1"/>
    </xf>
    <xf numFmtId="0" fontId="29" fillId="0" borderId="145" xfId="0" applyFont="1" applyBorder="1" applyAlignment="1">
      <alignment horizontal="center" vertical="center" wrapText="1"/>
    </xf>
    <xf numFmtId="0" fontId="29" fillId="4" borderId="33" xfId="0" applyFont="1" applyFill="1" applyBorder="1" applyAlignment="1">
      <alignment horizontal="center" vertical="center" wrapText="1"/>
    </xf>
    <xf numFmtId="0" fontId="29" fillId="4" borderId="146" xfId="0" applyFont="1" applyFill="1" applyBorder="1" applyAlignment="1">
      <alignment horizontal="center" vertical="center" wrapText="1"/>
    </xf>
    <xf numFmtId="0" fontId="17" fillId="0" borderId="118" xfId="0" applyFont="1" applyBorder="1" applyAlignment="1">
      <alignment horizontal="center" vertical="center" wrapText="1"/>
    </xf>
    <xf numFmtId="0" fontId="17" fillId="0" borderId="119" xfId="0" applyFont="1" applyBorder="1" applyAlignment="1">
      <alignment horizontal="center" vertical="center" wrapText="1"/>
    </xf>
    <xf numFmtId="0" fontId="31" fillId="0" borderId="47" xfId="0" applyFont="1" applyBorder="1" applyAlignment="1">
      <alignment horizontal="center" vertical="center" wrapText="1"/>
    </xf>
    <xf numFmtId="0" fontId="31" fillId="0" borderId="79" xfId="0" applyFont="1" applyBorder="1" applyAlignment="1">
      <alignment horizontal="center" vertical="center" wrapText="1"/>
    </xf>
    <xf numFmtId="0" fontId="31" fillId="0" borderId="29" xfId="0" applyFont="1" applyBorder="1" applyAlignment="1">
      <alignment horizontal="center" vertical="center" wrapText="1"/>
    </xf>
    <xf numFmtId="0" fontId="31" fillId="0" borderId="30" xfId="0" applyFont="1" applyBorder="1" applyAlignment="1">
      <alignment horizontal="center" vertical="center" wrapText="1"/>
    </xf>
    <xf numFmtId="0" fontId="31" fillId="0" borderId="64" xfId="0" applyFont="1" applyBorder="1" applyAlignment="1">
      <alignment horizontal="center" vertical="center" wrapText="1"/>
    </xf>
    <xf numFmtId="0" fontId="31" fillId="0" borderId="114" xfId="0" applyFont="1" applyBorder="1" applyAlignment="1">
      <alignment horizontal="center" vertical="center" wrapText="1"/>
    </xf>
    <xf numFmtId="0" fontId="31" fillId="0" borderId="115" xfId="0" applyFont="1" applyBorder="1" applyAlignment="1">
      <alignment horizontal="center" vertical="center" wrapText="1"/>
    </xf>
    <xf numFmtId="0" fontId="17" fillId="0" borderId="116" xfId="0" applyFont="1" applyBorder="1" applyAlignment="1">
      <alignment horizontal="center" vertical="center" wrapText="1"/>
    </xf>
    <xf numFmtId="0" fontId="17" fillId="0" borderId="117" xfId="0" applyFont="1" applyBorder="1" applyAlignment="1">
      <alignment horizontal="center" vertical="center" wrapText="1"/>
    </xf>
    <xf numFmtId="0" fontId="29" fillId="0" borderId="58" xfId="0" applyFont="1" applyBorder="1" applyAlignment="1">
      <alignment horizontal="center" vertical="center" wrapText="1"/>
    </xf>
    <xf numFmtId="0" fontId="29" fillId="0" borderId="83" xfId="0" applyFont="1" applyBorder="1" applyAlignment="1">
      <alignment horizontal="center" vertical="center" wrapText="1"/>
    </xf>
    <xf numFmtId="0" fontId="29" fillId="0" borderId="109" xfId="0" applyFont="1" applyBorder="1" applyAlignment="1">
      <alignment horizontal="center" vertical="center" wrapText="1"/>
    </xf>
    <xf numFmtId="0" fontId="31" fillId="0" borderId="62" xfId="0" applyFont="1" applyBorder="1" applyAlignment="1">
      <alignment horizontal="center" vertical="center" wrapText="1"/>
    </xf>
    <xf numFmtId="0" fontId="31" fillId="0" borderId="31" xfId="0" applyFont="1" applyBorder="1" applyAlignment="1">
      <alignment horizontal="center" vertical="center" wrapText="1"/>
    </xf>
    <xf numFmtId="0" fontId="12" fillId="5" borderId="139" xfId="0" applyFont="1" applyFill="1" applyBorder="1" applyAlignment="1">
      <alignment horizontal="center"/>
    </xf>
    <xf numFmtId="0" fontId="12" fillId="5" borderId="140" xfId="0" applyFont="1" applyFill="1" applyBorder="1" applyAlignment="1">
      <alignment horizontal="center"/>
    </xf>
    <xf numFmtId="0" fontId="22" fillId="6" borderId="37" xfId="0" applyFont="1" applyFill="1" applyBorder="1" applyAlignment="1">
      <alignment horizontal="center" vertical="center" wrapText="1"/>
    </xf>
    <xf numFmtId="0" fontId="22" fillId="6" borderId="38" xfId="0" applyFont="1" applyFill="1" applyBorder="1" applyAlignment="1">
      <alignment horizontal="center" vertical="center" wrapText="1"/>
    </xf>
    <xf numFmtId="0" fontId="22" fillId="6" borderId="45" xfId="0" applyFont="1" applyFill="1" applyBorder="1" applyAlignment="1">
      <alignment horizontal="center" vertical="center" wrapText="1"/>
    </xf>
    <xf numFmtId="0" fontId="22" fillId="6" borderId="76" xfId="0" applyFont="1" applyFill="1" applyBorder="1" applyAlignment="1">
      <alignment horizontal="center" vertical="center" wrapText="1"/>
    </xf>
    <xf numFmtId="0" fontId="22" fillId="6" borderId="77" xfId="0" applyFont="1" applyFill="1" applyBorder="1" applyAlignment="1">
      <alignment horizontal="center" vertical="center" wrapText="1"/>
    </xf>
    <xf numFmtId="0" fontId="22" fillId="6" borderId="89" xfId="0" applyFont="1" applyFill="1" applyBorder="1" applyAlignment="1">
      <alignment horizontal="center" vertical="center" wrapText="1"/>
    </xf>
    <xf numFmtId="0" fontId="22" fillId="6" borderId="90" xfId="0" applyFont="1" applyFill="1" applyBorder="1" applyAlignment="1">
      <alignment horizontal="center" vertical="center" wrapText="1"/>
    </xf>
    <xf numFmtId="0" fontId="22" fillId="6" borderId="91" xfId="0" applyFont="1" applyFill="1" applyBorder="1" applyAlignment="1">
      <alignment horizontal="center" vertical="center" wrapText="1"/>
    </xf>
    <xf numFmtId="0" fontId="22" fillId="6" borderId="96" xfId="0" applyFont="1" applyFill="1" applyBorder="1" applyAlignment="1">
      <alignment horizontal="center" vertical="center" wrapText="1"/>
    </xf>
    <xf numFmtId="0" fontId="22" fillId="6" borderId="51" xfId="0" applyFont="1" applyFill="1" applyBorder="1" applyAlignment="1">
      <alignment horizontal="center" vertical="center" wrapText="1"/>
    </xf>
    <xf numFmtId="0" fontId="22" fillId="6" borderId="6" xfId="0" applyFont="1" applyFill="1" applyBorder="1" applyAlignment="1">
      <alignment horizontal="center" vertical="center" wrapText="1"/>
    </xf>
    <xf numFmtId="0" fontId="23" fillId="0" borderId="40" xfId="0" applyFont="1" applyBorder="1" applyAlignment="1">
      <alignment horizontal="center" vertical="center" wrapText="1"/>
    </xf>
    <xf numFmtId="0" fontId="23" fillId="0" borderId="41" xfId="0" applyFont="1" applyBorder="1" applyAlignment="1">
      <alignment horizontal="center" vertical="center" wrapText="1"/>
    </xf>
    <xf numFmtId="0" fontId="23" fillId="0" borderId="101" xfId="0" applyFont="1" applyBorder="1" applyAlignment="1">
      <alignment horizontal="center" vertical="center" wrapText="1"/>
    </xf>
    <xf numFmtId="0" fontId="23" fillId="0" borderId="102" xfId="0" applyFont="1" applyBorder="1" applyAlignment="1">
      <alignment horizontal="center" vertical="center" wrapText="1"/>
    </xf>
    <xf numFmtId="0" fontId="23" fillId="0" borderId="8" xfId="0" applyFont="1" applyBorder="1" applyAlignment="1">
      <alignment horizontal="center" vertical="center" wrapText="1"/>
    </xf>
    <xf numFmtId="0" fontId="23" fillId="0" borderId="79" xfId="0" applyFont="1" applyBorder="1" applyAlignment="1">
      <alignment horizontal="center" vertical="center" wrapText="1"/>
    </xf>
    <xf numFmtId="0" fontId="23" fillId="0" borderId="26" xfId="0" applyFont="1" applyBorder="1" applyAlignment="1">
      <alignment horizontal="center" vertical="center" wrapText="1"/>
    </xf>
    <xf numFmtId="0" fontId="23" fillId="0" borderId="54" xfId="0" applyFont="1" applyBorder="1" applyAlignment="1">
      <alignment horizontal="center" vertical="center" wrapText="1"/>
    </xf>
    <xf numFmtId="0" fontId="23" fillId="0" borderId="46" xfId="0" applyFont="1" applyBorder="1" applyAlignment="1">
      <alignment horizontal="center" vertical="center" wrapText="1"/>
    </xf>
    <xf numFmtId="0" fontId="23" fillId="0" borderId="85" xfId="0" applyFont="1" applyBorder="1" applyAlignment="1">
      <alignment horizontal="center" vertical="center" wrapText="1"/>
    </xf>
    <xf numFmtId="0" fontId="23" fillId="0" borderId="53" xfId="0" applyFont="1" applyBorder="1" applyAlignment="1">
      <alignment horizontal="center" vertical="center" wrapText="1"/>
    </xf>
    <xf numFmtId="0" fontId="23" fillId="0" borderId="48" xfId="0" applyFont="1" applyBorder="1" applyAlignment="1">
      <alignment horizontal="center" vertical="center" wrapText="1"/>
    </xf>
    <xf numFmtId="0" fontId="23" fillId="0" borderId="34" xfId="0" applyFont="1" applyBorder="1" applyAlignment="1">
      <alignment horizontal="center" vertical="center" wrapText="1"/>
    </xf>
    <xf numFmtId="0" fontId="22" fillId="6" borderId="58" xfId="0" applyFont="1" applyFill="1" applyBorder="1" applyAlignment="1">
      <alignment horizontal="center" vertical="center" wrapText="1"/>
    </xf>
    <xf numFmtId="0" fontId="22" fillId="6" borderId="83" xfId="0" applyFont="1" applyFill="1" applyBorder="1" applyAlignment="1">
      <alignment horizontal="center" vertical="center" wrapText="1"/>
    </xf>
    <xf numFmtId="0" fontId="22" fillId="6" borderId="59" xfId="0" applyFont="1" applyFill="1" applyBorder="1" applyAlignment="1">
      <alignment horizontal="center" vertical="center" wrapText="1"/>
    </xf>
    <xf numFmtId="0" fontId="23" fillId="0" borderId="81" xfId="0" applyFont="1" applyBorder="1" applyAlignment="1">
      <alignment horizontal="center" vertical="center" wrapText="1"/>
    </xf>
    <xf numFmtId="0" fontId="1" fillId="0" borderId="62" xfId="0" applyFont="1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 wrapText="1"/>
    </xf>
    <xf numFmtId="0" fontId="1" fillId="0" borderId="43" xfId="0" applyFont="1" applyBorder="1" applyAlignment="1">
      <alignment horizontal="center" vertical="center" wrapText="1"/>
    </xf>
    <xf numFmtId="0" fontId="1" fillId="0" borderId="64" xfId="0" applyFont="1" applyBorder="1" applyAlignment="1">
      <alignment horizontal="center" vertical="center" wrapText="1"/>
    </xf>
    <xf numFmtId="0" fontId="23" fillId="0" borderId="37" xfId="0" applyFont="1" applyBorder="1" applyAlignment="1">
      <alignment horizontal="center" vertical="center" wrapText="1"/>
    </xf>
    <xf numFmtId="0" fontId="23" fillId="0" borderId="38" xfId="0" applyFont="1" applyBorder="1" applyAlignment="1">
      <alignment horizontal="center" vertical="center" wrapText="1"/>
    </xf>
    <xf numFmtId="0" fontId="23" fillId="0" borderId="45" xfId="0" applyFont="1" applyBorder="1" applyAlignment="1">
      <alignment horizontal="center" vertical="center" wrapText="1"/>
    </xf>
    <xf numFmtId="0" fontId="23" fillId="0" borderId="47" xfId="0" applyFont="1" applyBorder="1" applyAlignment="1">
      <alignment horizontal="center" vertical="center" wrapText="1"/>
    </xf>
    <xf numFmtId="0" fontId="23" fillId="0" borderId="11" xfId="0" applyFont="1" applyBorder="1" applyAlignment="1">
      <alignment horizontal="center" vertical="center" wrapText="1"/>
    </xf>
    <xf numFmtId="0" fontId="23" fillId="0" borderId="12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23" fillId="0" borderId="56" xfId="0" applyFont="1" applyBorder="1" applyAlignment="1">
      <alignment horizontal="center" vertical="center" wrapText="1"/>
    </xf>
    <xf numFmtId="0" fontId="23" fillId="0" borderId="86" xfId="0" applyFont="1" applyBorder="1" applyAlignment="1">
      <alignment horizontal="center" vertical="center" wrapText="1"/>
    </xf>
    <xf numFmtId="0" fontId="23" fillId="0" borderId="87" xfId="0" applyFont="1" applyBorder="1" applyAlignment="1">
      <alignment horizontal="center" vertical="center" wrapText="1"/>
    </xf>
    <xf numFmtId="0" fontId="23" fillId="0" borderId="88" xfId="0" applyFont="1" applyBorder="1" applyAlignment="1">
      <alignment horizontal="center" vertical="center" wrapText="1"/>
    </xf>
    <xf numFmtId="0" fontId="22" fillId="6" borderId="1" xfId="0" applyFont="1" applyFill="1" applyBorder="1" applyAlignment="1">
      <alignment horizontal="center" vertical="center" wrapText="1"/>
    </xf>
    <xf numFmtId="0" fontId="22" fillId="6" borderId="13" xfId="0" applyFont="1" applyFill="1" applyBorder="1" applyAlignment="1">
      <alignment horizontal="center" vertical="center" wrapText="1"/>
    </xf>
    <xf numFmtId="0" fontId="22" fillId="6" borderId="2" xfId="0" applyFont="1" applyFill="1" applyBorder="1" applyAlignment="1">
      <alignment horizontal="center" vertical="center" wrapText="1"/>
    </xf>
    <xf numFmtId="0" fontId="22" fillId="6" borderId="5" xfId="0" applyFont="1" applyFill="1" applyBorder="1" applyAlignment="1">
      <alignment horizontal="center" vertical="center" wrapText="1"/>
    </xf>
    <xf numFmtId="0" fontId="22" fillId="6" borderId="56" xfId="0" applyFont="1" applyFill="1" applyBorder="1" applyAlignment="1">
      <alignment horizontal="center" vertical="center" wrapText="1"/>
    </xf>
    <xf numFmtId="0" fontId="23" fillId="0" borderId="50" xfId="0" applyFont="1" applyBorder="1" applyAlignment="1">
      <alignment horizontal="center" vertical="center" wrapText="1"/>
    </xf>
    <xf numFmtId="0" fontId="23" fillId="0" borderId="78" xfId="0" applyFont="1" applyBorder="1" applyAlignment="1">
      <alignment horizontal="center" vertical="center" wrapText="1"/>
    </xf>
    <xf numFmtId="0" fontId="23" fillId="0" borderId="21" xfId="0" applyFont="1" applyBorder="1" applyAlignment="1">
      <alignment horizontal="center" vertical="center" wrapText="1"/>
    </xf>
    <xf numFmtId="0" fontId="1" fillId="0" borderId="56" xfId="0" applyFont="1" applyBorder="1" applyAlignment="1">
      <alignment horizontal="center" vertical="center" wrapText="1"/>
    </xf>
    <xf numFmtId="0" fontId="13" fillId="4" borderId="86" xfId="0" applyFont="1" applyFill="1" applyBorder="1" applyAlignment="1">
      <alignment horizontal="center" vertical="center" wrapText="1"/>
    </xf>
    <xf numFmtId="0" fontId="13" fillId="4" borderId="88" xfId="0" applyFont="1" applyFill="1" applyBorder="1" applyAlignment="1">
      <alignment horizontal="center" vertical="center" wrapText="1"/>
    </xf>
    <xf numFmtId="0" fontId="13" fillId="4" borderId="56" xfId="0" applyFont="1" applyFill="1" applyBorder="1" applyAlignment="1">
      <alignment horizontal="center" vertical="center" wrapText="1"/>
    </xf>
    <xf numFmtId="0" fontId="14" fillId="0" borderId="46" xfId="0" applyFont="1" applyBorder="1" applyAlignment="1">
      <alignment horizontal="center" vertical="center" wrapText="1"/>
    </xf>
    <xf numFmtId="0" fontId="14" fillId="0" borderId="12" xfId="0" applyFont="1" applyBorder="1" applyAlignment="1">
      <alignment horizontal="center" vertical="center" wrapText="1"/>
    </xf>
    <xf numFmtId="0" fontId="14" fillId="0" borderId="53" xfId="0" applyFont="1" applyBorder="1" applyAlignment="1">
      <alignment horizontal="center" vertical="center" wrapText="1"/>
    </xf>
    <xf numFmtId="0" fontId="12" fillId="8" borderId="122" xfId="0" applyFont="1" applyFill="1" applyBorder="1" applyAlignment="1">
      <alignment horizontal="center" vertical="center"/>
    </xf>
    <xf numFmtId="0" fontId="12" fillId="8" borderId="123" xfId="0" applyFont="1" applyFill="1" applyBorder="1" applyAlignment="1">
      <alignment horizontal="center" vertical="center"/>
    </xf>
    <xf numFmtId="0" fontId="12" fillId="8" borderId="124" xfId="0" applyFont="1" applyFill="1" applyBorder="1" applyAlignment="1">
      <alignment horizontal="center" vertical="center"/>
    </xf>
    <xf numFmtId="0" fontId="12" fillId="10" borderId="123" xfId="0" applyFont="1" applyFill="1" applyBorder="1" applyAlignment="1">
      <alignment horizontal="center" vertical="center"/>
    </xf>
    <xf numFmtId="0" fontId="12" fillId="10" borderId="122" xfId="0" applyFont="1" applyFill="1" applyBorder="1" applyAlignment="1">
      <alignment horizontal="center" vertical="center"/>
    </xf>
    <xf numFmtId="0" fontId="13" fillId="4" borderId="13" xfId="0" applyFont="1" applyFill="1" applyBorder="1" applyAlignment="1">
      <alignment horizontal="center" vertical="center" wrapText="1"/>
    </xf>
    <xf numFmtId="0" fontId="13" fillId="4" borderId="2" xfId="0" applyFont="1" applyFill="1" applyBorder="1" applyAlignment="1">
      <alignment horizontal="center" vertical="center" wrapText="1"/>
    </xf>
    <xf numFmtId="0" fontId="13" fillId="4" borderId="51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37" xfId="0" applyFont="1" applyFill="1" applyBorder="1" applyAlignment="1">
      <alignment horizontal="center" vertical="center" wrapText="1"/>
    </xf>
    <xf numFmtId="0" fontId="13" fillId="4" borderId="38" xfId="0" applyFont="1" applyFill="1" applyBorder="1" applyAlignment="1">
      <alignment horizontal="center" vertical="center" wrapText="1"/>
    </xf>
    <xf numFmtId="0" fontId="14" fillId="0" borderId="52" xfId="0" applyFont="1" applyBorder="1" applyAlignment="1">
      <alignment horizontal="center" vertical="center" wrapText="1"/>
    </xf>
    <xf numFmtId="0" fontId="13" fillId="4" borderId="40" xfId="0" applyFont="1" applyFill="1" applyBorder="1" applyAlignment="1">
      <alignment horizontal="center" vertical="center" wrapText="1"/>
    </xf>
    <xf numFmtId="0" fontId="13" fillId="4" borderId="26" xfId="0" applyFont="1" applyFill="1" applyBorder="1" applyAlignment="1">
      <alignment horizontal="center" vertical="center" wrapText="1"/>
    </xf>
    <xf numFmtId="0" fontId="13" fillId="4" borderId="41" xfId="0" applyFont="1" applyFill="1" applyBorder="1" applyAlignment="1">
      <alignment horizontal="center" vertical="center" wrapText="1"/>
    </xf>
    <xf numFmtId="0" fontId="1" fillId="0" borderId="52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4" fillId="0" borderId="84" xfId="0" applyFont="1" applyBorder="1" applyAlignment="1">
      <alignment horizontal="center" vertical="center" wrapText="1"/>
    </xf>
    <xf numFmtId="0" fontId="14" fillId="0" borderId="8" xfId="0" applyFont="1" applyBorder="1" applyAlignment="1">
      <alignment horizontal="center" vertical="center" wrapText="1"/>
    </xf>
    <xf numFmtId="0" fontId="14" fillId="0" borderId="79" xfId="0" applyFont="1" applyBorder="1" applyAlignment="1">
      <alignment horizontal="center" vertical="center" wrapText="1"/>
    </xf>
    <xf numFmtId="0" fontId="14" fillId="0" borderId="47" xfId="0" applyFont="1" applyBorder="1" applyAlignment="1">
      <alignment horizontal="center" vertical="center" wrapText="1"/>
    </xf>
    <xf numFmtId="0" fontId="1" fillId="0" borderId="53" xfId="0" applyFont="1" applyBorder="1" applyAlignment="1">
      <alignment horizontal="center" vertical="center" wrapText="1"/>
    </xf>
    <xf numFmtId="0" fontId="14" fillId="0" borderId="80" xfId="0" applyFont="1" applyBorder="1" applyAlignment="1">
      <alignment horizontal="center" vertical="center" wrapText="1"/>
    </xf>
    <xf numFmtId="0" fontId="13" fillId="2" borderId="40" xfId="0" applyFont="1" applyFill="1" applyBorder="1" applyAlignment="1">
      <alignment horizontal="center" vertical="center" wrapText="1"/>
    </xf>
    <xf numFmtId="0" fontId="13" fillId="2" borderId="41" xfId="0" applyFont="1" applyFill="1" applyBorder="1" applyAlignment="1">
      <alignment horizontal="center" vertical="center" wrapText="1"/>
    </xf>
    <xf numFmtId="0" fontId="13" fillId="2" borderId="26" xfId="0" applyFont="1" applyFill="1" applyBorder="1" applyAlignment="1">
      <alignment horizontal="center" vertical="center" wrapText="1"/>
    </xf>
    <xf numFmtId="0" fontId="13" fillId="2" borderId="54" xfId="0" applyFont="1" applyFill="1" applyBorder="1" applyAlignment="1">
      <alignment horizontal="center" vertical="center" wrapText="1"/>
    </xf>
    <xf numFmtId="0" fontId="13" fillId="2" borderId="55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 wrapText="1"/>
    </xf>
    <xf numFmtId="0" fontId="13" fillId="2" borderId="15" xfId="0" applyFont="1" applyFill="1" applyBorder="1" applyAlignment="1">
      <alignment horizontal="center" vertical="center" wrapText="1"/>
    </xf>
    <xf numFmtId="0" fontId="13" fillId="4" borderId="83" xfId="0" applyFont="1" applyFill="1" applyBorder="1" applyAlignment="1">
      <alignment horizontal="center" vertical="center" wrapText="1"/>
    </xf>
    <xf numFmtId="0" fontId="13" fillId="4" borderId="59" xfId="0" applyFont="1" applyFill="1" applyBorder="1" applyAlignment="1">
      <alignment horizontal="center" vertical="center" wrapText="1"/>
    </xf>
    <xf numFmtId="0" fontId="13" fillId="2" borderId="37" xfId="0" applyFont="1" applyFill="1" applyBorder="1" applyAlignment="1">
      <alignment horizontal="center" vertical="center" wrapText="1"/>
    </xf>
    <xf numFmtId="0" fontId="13" fillId="2" borderId="45" xfId="0" applyFont="1" applyFill="1" applyBorder="1" applyAlignment="1">
      <alignment horizontal="center" vertical="center" wrapText="1"/>
    </xf>
    <xf numFmtId="0" fontId="13" fillId="2" borderId="38" xfId="0" applyFont="1" applyFill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3" fillId="0" borderId="56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3" fillId="2" borderId="56" xfId="0" applyFont="1" applyFill="1" applyBorder="1" applyAlignment="1">
      <alignment horizontal="center" vertical="center" wrapText="1"/>
    </xf>
    <xf numFmtId="0" fontId="0" fillId="0" borderId="69" xfId="0" applyBorder="1" applyAlignment="1">
      <alignment horizontal="center" wrapText="1"/>
    </xf>
    <xf numFmtId="0" fontId="0" fillId="0" borderId="70" xfId="0" applyBorder="1" applyAlignment="1">
      <alignment horizontal="center"/>
    </xf>
    <xf numFmtId="0" fontId="0" fillId="0" borderId="71" xfId="0" applyBorder="1" applyAlignment="1">
      <alignment horizontal="center"/>
    </xf>
    <xf numFmtId="0" fontId="0" fillId="0" borderId="72" xfId="0" applyBorder="1" applyAlignment="1">
      <alignment horizontal="center"/>
    </xf>
    <xf numFmtId="0" fontId="0" fillId="0" borderId="73" xfId="0" applyBorder="1" applyAlignment="1">
      <alignment horizontal="center"/>
    </xf>
    <xf numFmtId="0" fontId="0" fillId="0" borderId="74" xfId="0" applyBorder="1" applyAlignment="1">
      <alignment horizontal="center"/>
    </xf>
    <xf numFmtId="0" fontId="5" fillId="2" borderId="37" xfId="0" applyFont="1" applyFill="1" applyBorder="1" applyAlignment="1">
      <alignment horizontal="center" vertical="center" wrapText="1"/>
    </xf>
    <xf numFmtId="0" fontId="5" fillId="2" borderId="38" xfId="0" applyFont="1" applyFill="1" applyBorder="1" applyAlignment="1">
      <alignment horizontal="center" vertical="center" wrapText="1"/>
    </xf>
    <xf numFmtId="0" fontId="5" fillId="2" borderId="39" xfId="0" applyFont="1" applyFill="1" applyBorder="1" applyAlignment="1">
      <alignment horizontal="center" vertical="center" wrapText="1"/>
    </xf>
    <xf numFmtId="9" fontId="1" fillId="0" borderId="47" xfId="0" applyNumberFormat="1" applyFont="1" applyBorder="1" applyAlignment="1">
      <alignment horizontal="center" vertical="center" wrapText="1"/>
    </xf>
    <xf numFmtId="9" fontId="1" fillId="0" borderId="79" xfId="0" applyNumberFormat="1" applyFont="1" applyBorder="1" applyAlignment="1">
      <alignment horizontal="center" vertical="center" wrapText="1"/>
    </xf>
    <xf numFmtId="10" fontId="1" fillId="0" borderId="118" xfId="0" applyNumberFormat="1" applyFont="1" applyBorder="1" applyAlignment="1">
      <alignment horizontal="center" vertical="center" wrapText="1"/>
    </xf>
    <xf numFmtId="10" fontId="1" fillId="0" borderId="119" xfId="0" applyNumberFormat="1" applyFont="1" applyBorder="1" applyAlignment="1">
      <alignment horizontal="center" vertical="center" wrapText="1"/>
    </xf>
    <xf numFmtId="0" fontId="12" fillId="0" borderId="56" xfId="0" applyFont="1" applyBorder="1" applyAlignment="1">
      <alignment horizontal="center"/>
    </xf>
    <xf numFmtId="0" fontId="3" fillId="2" borderId="43" xfId="0" applyFont="1" applyFill="1" applyBorder="1" applyAlignment="1">
      <alignment horizontal="center" vertical="center" wrapText="1"/>
    </xf>
    <xf numFmtId="0" fontId="3" fillId="2" borderId="44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6" xfId="0" applyFont="1" applyBorder="1" applyAlignment="1">
      <alignment horizontal="center" vertical="center" wrapText="1"/>
    </xf>
    <xf numFmtId="0" fontId="5" fillId="0" borderId="33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3" fillId="2" borderId="76" xfId="0" applyFont="1" applyFill="1" applyBorder="1" applyAlignment="1">
      <alignment horizontal="center" vertical="center" wrapText="1"/>
    </xf>
    <xf numFmtId="0" fontId="3" fillId="2" borderId="77" xfId="0" applyFont="1" applyFill="1" applyBorder="1" applyAlignment="1">
      <alignment horizontal="center" vertical="center" wrapText="1"/>
    </xf>
    <xf numFmtId="0" fontId="5" fillId="0" borderId="29" xfId="0" applyFont="1" applyBorder="1" applyAlignment="1">
      <alignment horizontal="center" vertical="center" wrapText="1"/>
    </xf>
    <xf numFmtId="0" fontId="5" fillId="0" borderId="31" xfId="0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1" fillId="0" borderId="79" xfId="0" applyFont="1" applyBorder="1" applyAlignment="1">
      <alignment horizontal="center" vertical="center" wrapText="1"/>
    </xf>
    <xf numFmtId="0" fontId="4" fillId="2" borderId="40" xfId="0" applyFont="1" applyFill="1" applyBorder="1" applyAlignment="1">
      <alignment horizontal="center" vertical="center" wrapText="1"/>
    </xf>
    <xf numFmtId="0" fontId="4" fillId="2" borderId="41" xfId="0" applyFont="1" applyFill="1" applyBorder="1" applyAlignment="1">
      <alignment horizontal="center" vertical="center" wrapText="1"/>
    </xf>
    <xf numFmtId="0" fontId="4" fillId="2" borderId="42" xfId="0" applyFont="1" applyFill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21" xfId="0" applyFont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3" fillId="2" borderId="37" xfId="0" applyFont="1" applyFill="1" applyBorder="1" applyAlignment="1">
      <alignment horizontal="center" vertical="center" wrapText="1"/>
    </xf>
    <xf numFmtId="0" fontId="3" fillId="2" borderId="38" xfId="0" applyFont="1" applyFill="1" applyBorder="1" applyAlignment="1">
      <alignment horizontal="center" vertical="center" wrapText="1"/>
    </xf>
    <xf numFmtId="0" fontId="3" fillId="2" borderId="39" xfId="0" applyFont="1" applyFill="1" applyBorder="1" applyAlignment="1">
      <alignment horizontal="center" vertical="center" wrapText="1"/>
    </xf>
    <xf numFmtId="0" fontId="4" fillId="2" borderId="26" xfId="0" applyFont="1" applyFill="1" applyBorder="1" applyAlignment="1">
      <alignment horizontal="center" vertical="center" wrapText="1"/>
    </xf>
    <xf numFmtId="0" fontId="3" fillId="2" borderId="10" xfId="0" applyFont="1" applyFill="1" applyBorder="1" applyAlignment="1">
      <alignment horizontal="center" vertical="center" wrapText="1"/>
    </xf>
    <xf numFmtId="0" fontId="3" fillId="2" borderId="13" xfId="0" applyFont="1" applyFill="1" applyBorder="1" applyAlignment="1">
      <alignment horizontal="center" vertical="center" wrapText="1"/>
    </xf>
    <xf numFmtId="0" fontId="3" fillId="2" borderId="14" xfId="0" applyFont="1" applyFill="1" applyBorder="1" applyAlignment="1">
      <alignment horizontal="center" vertical="center" wrapText="1"/>
    </xf>
    <xf numFmtId="0" fontId="3" fillId="4" borderId="58" xfId="0" applyFont="1" applyFill="1" applyBorder="1" applyAlignment="1">
      <alignment horizontal="center" vertical="center" wrapText="1"/>
    </xf>
    <xf numFmtId="0" fontId="3" fillId="4" borderId="59" xfId="0" applyFont="1" applyFill="1" applyBorder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center" wrapText="1"/>
    </xf>
    <xf numFmtId="0" fontId="4" fillId="2" borderId="12" xfId="0" applyFont="1" applyFill="1" applyBorder="1" applyAlignment="1">
      <alignment horizontal="center" vertical="center" wrapText="1"/>
    </xf>
    <xf numFmtId="0" fontId="4" fillId="2" borderId="15" xfId="0" applyFont="1" applyFill="1" applyBorder="1" applyAlignment="1">
      <alignment horizontal="center" vertical="center" wrapText="1"/>
    </xf>
    <xf numFmtId="0" fontId="4" fillId="2" borderId="16" xfId="0" applyFont="1" applyFill="1" applyBorder="1" applyAlignment="1">
      <alignment horizontal="center" vertical="center" wrapText="1"/>
    </xf>
    <xf numFmtId="0" fontId="5" fillId="0" borderId="62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5" fillId="0" borderId="64" xfId="0" applyFont="1" applyBorder="1" applyAlignment="1">
      <alignment horizontal="center" vertical="center" wrapText="1"/>
    </xf>
    <xf numFmtId="0" fontId="0" fillId="8" borderId="56" xfId="0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37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5" fillId="0" borderId="130" xfId="0" applyFont="1" applyBorder="1" applyAlignment="1">
      <alignment horizontal="center" vertical="center" wrapText="1"/>
    </xf>
    <xf numFmtId="0" fontId="5" fillId="0" borderId="0" xfId="0" applyFont="1" applyBorder="1" applyAlignment="1">
      <alignment horizontal="center" vertical="center" wrapText="1"/>
    </xf>
    <xf numFmtId="0" fontId="4" fillId="4" borderId="37" xfId="0" applyFont="1" applyFill="1" applyBorder="1" applyAlignment="1">
      <alignment horizontal="center" vertical="center" wrapText="1"/>
    </xf>
    <xf numFmtId="0" fontId="4" fillId="4" borderId="38" xfId="0" applyFont="1" applyFill="1" applyBorder="1" applyAlignment="1">
      <alignment horizontal="center" vertical="center" wrapText="1"/>
    </xf>
    <xf numFmtId="0" fontId="4" fillId="4" borderId="45" xfId="0" applyFont="1" applyFill="1" applyBorder="1" applyAlignment="1">
      <alignment horizontal="center" vertical="center" wrapText="1"/>
    </xf>
    <xf numFmtId="0" fontId="13" fillId="4" borderId="4" xfId="0" applyFont="1" applyFill="1" applyBorder="1" applyAlignment="1">
      <alignment horizontal="center" vertical="center" wrapText="1"/>
    </xf>
    <xf numFmtId="0" fontId="15" fillId="4" borderId="2" xfId="0" applyFont="1" applyFill="1" applyBorder="1" applyAlignment="1">
      <alignment horizontal="center" vertical="center" wrapText="1"/>
    </xf>
    <xf numFmtId="0" fontId="15" fillId="4" borderId="4" xfId="0" applyFont="1" applyFill="1" applyBorder="1" applyAlignment="1">
      <alignment horizontal="center" vertical="center" wrapText="1"/>
    </xf>
    <xf numFmtId="0" fontId="15" fillId="4" borderId="6" xfId="0" applyFont="1" applyFill="1" applyBorder="1" applyAlignment="1">
      <alignment horizontal="center" vertical="center" wrapText="1"/>
    </xf>
    <xf numFmtId="0" fontId="16" fillId="4" borderId="37" xfId="0" applyFont="1" applyFill="1" applyBorder="1" applyAlignment="1">
      <alignment horizontal="center" vertical="center" wrapText="1"/>
    </xf>
    <xf numFmtId="0" fontId="16" fillId="4" borderId="38" xfId="0" applyFont="1" applyFill="1" applyBorder="1" applyAlignment="1">
      <alignment horizontal="center" vertical="center" wrapText="1"/>
    </xf>
    <xf numFmtId="0" fontId="16" fillId="4" borderId="45" xfId="0" applyFont="1" applyFill="1" applyBorder="1" applyAlignment="1">
      <alignment horizontal="center" vertical="center" wrapText="1"/>
    </xf>
    <xf numFmtId="0" fontId="15" fillId="4" borderId="40" xfId="0" applyFont="1" applyFill="1" applyBorder="1" applyAlignment="1">
      <alignment horizontal="center" vertical="center" wrapText="1"/>
    </xf>
    <xf numFmtId="0" fontId="15" fillId="4" borderId="26" xfId="0" applyFont="1" applyFill="1" applyBorder="1" applyAlignment="1">
      <alignment horizontal="center" vertical="center" wrapText="1"/>
    </xf>
    <xf numFmtId="0" fontId="15" fillId="4" borderId="41" xfId="0" applyFont="1" applyFill="1" applyBorder="1" applyAlignment="1">
      <alignment horizontal="center" vertical="center" wrapText="1"/>
    </xf>
    <xf numFmtId="0" fontId="13" fillId="2" borderId="2" xfId="0" applyFont="1" applyFill="1" applyBorder="1" applyAlignment="1">
      <alignment horizontal="center" vertical="center" wrapText="1"/>
    </xf>
    <xf numFmtId="0" fontId="13" fillId="2" borderId="4" xfId="0" applyFont="1" applyFill="1" applyBorder="1" applyAlignment="1">
      <alignment horizontal="center" vertical="center" wrapText="1"/>
    </xf>
    <xf numFmtId="0" fontId="13" fillId="2" borderId="6" xfId="0" applyFont="1" applyFill="1" applyBorder="1" applyAlignment="1">
      <alignment horizontal="center" vertical="center" wrapText="1"/>
    </xf>
    <xf numFmtId="0" fontId="15" fillId="4" borderId="56" xfId="0" applyFont="1" applyFill="1" applyBorder="1" applyAlignment="1">
      <alignment horizontal="center" vertical="center" wrapText="1"/>
    </xf>
    <xf numFmtId="0" fontId="25" fillId="7" borderId="103" xfId="0" applyFont="1" applyFill="1" applyBorder="1" applyAlignment="1">
      <alignment horizontal="center" vertical="center"/>
    </xf>
    <xf numFmtId="0" fontId="22" fillId="6" borderId="0" xfId="0" applyFont="1" applyFill="1" applyBorder="1" applyAlignment="1">
      <alignment horizontal="center" vertical="center" wrapText="1"/>
    </xf>
    <xf numFmtId="0" fontId="22" fillId="6" borderId="95" xfId="0" applyFont="1" applyFill="1" applyBorder="1" applyAlignment="1">
      <alignment horizontal="center" vertical="center" wrapText="1"/>
    </xf>
    <xf numFmtId="0" fontId="22" fillId="6" borderId="98" xfId="0" applyFont="1" applyFill="1" applyBorder="1" applyAlignment="1">
      <alignment horizontal="center" vertical="center" wrapText="1"/>
    </xf>
    <xf numFmtId="0" fontId="29" fillId="0" borderId="56" xfId="0" applyFont="1" applyBorder="1" applyAlignment="1">
      <alignment horizontal="center" vertical="center" wrapText="1"/>
    </xf>
    <xf numFmtId="0" fontId="29" fillId="8" borderId="56" xfId="0" applyFont="1" applyFill="1" applyBorder="1" applyAlignment="1">
      <alignment horizontal="center" vertical="center" wrapText="1"/>
    </xf>
  </cellXfs>
  <cellStyles count="3">
    <cellStyle name="Normal" xfId="0" builtinId="0"/>
    <cellStyle name="Normal 2" xfId="2"/>
    <cellStyle name="Percent" xfId="1" builtinId="5"/>
  </cellStyles>
  <dxfs count="0"/>
  <tableStyles count="0" defaultTableStyle="TableStyleMedium2" defaultPivotStyle="PivotStyleLight16"/>
  <colors>
    <mruColors>
      <color rgb="FFCCFF33"/>
      <color rgb="FFFFCCCC"/>
      <color rgb="FFFFCC99"/>
      <color rgb="FFCCCCFF"/>
      <color rgb="FFFFCCFF"/>
      <color rgb="FFFFCC66"/>
      <color rgb="FFFF9999"/>
      <color rgb="FFFF9966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theme" Target="theme/theme1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30103</xdr:colOff>
      <xdr:row>63</xdr:row>
      <xdr:rowOff>196191</xdr:rowOff>
    </xdr:from>
    <xdr:to>
      <xdr:col>77</xdr:col>
      <xdr:colOff>543480</xdr:colOff>
      <xdr:row>127</xdr:row>
      <xdr:rowOff>24395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494103" y="14320405"/>
          <a:ext cx="22366448" cy="1376191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158</xdr:col>
      <xdr:colOff>606670</xdr:colOff>
      <xdr:row>54</xdr:row>
      <xdr:rowOff>7259</xdr:rowOff>
    </xdr:from>
    <xdr:to>
      <xdr:col>197</xdr:col>
      <xdr:colOff>460471</xdr:colOff>
      <xdr:row>135</xdr:row>
      <xdr:rowOff>42424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859488" y="15166441"/>
          <a:ext cx="25519347" cy="1938534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63</xdr:col>
      <xdr:colOff>373888</xdr:colOff>
      <xdr:row>191</xdr:row>
      <xdr:rowOff>391148</xdr:rowOff>
    </xdr:from>
    <xdr:to>
      <xdr:col>81</xdr:col>
      <xdr:colOff>400915</xdr:colOff>
      <xdr:row>274</xdr:row>
      <xdr:rowOff>179966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394888" y="27061148"/>
          <a:ext cx="11457026" cy="1581440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388373</xdr:colOff>
      <xdr:row>23</xdr:row>
      <xdr:rowOff>6391</xdr:rowOff>
    </xdr:to>
    <xdr:pic>
      <xdr:nvPicPr>
        <xdr:cNvPr id="2" name="Picture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603505" y="919514"/>
          <a:ext cx="3075826" cy="42022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74706</xdr:colOff>
      <xdr:row>133</xdr:row>
      <xdr:rowOff>45889</xdr:rowOff>
    </xdr:from>
    <xdr:to>
      <xdr:col>25</xdr:col>
      <xdr:colOff>409896</xdr:colOff>
      <xdr:row>175</xdr:row>
      <xdr:rowOff>182483</xdr:rowOff>
    </xdr:to>
    <xdr:pic>
      <xdr:nvPicPr>
        <xdr:cNvPr id="3" name="_x524315136" descr="EMB0000336063e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1389530" y="29965595"/>
          <a:ext cx="15717131" cy="9235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49</xdr:col>
      <xdr:colOff>368328</xdr:colOff>
      <xdr:row>117</xdr:row>
      <xdr:rowOff>84940</xdr:rowOff>
    </xdr:from>
    <xdr:to>
      <xdr:col>89</xdr:col>
      <xdr:colOff>683161</xdr:colOff>
      <xdr:row>211</xdr:row>
      <xdr:rowOff>35215</xdr:rowOff>
    </xdr:to>
    <xdr:pic>
      <xdr:nvPicPr>
        <xdr:cNvPr id="2" name="_x185156296" descr="EMB00003da8585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38041146" y="28706122"/>
          <a:ext cx="27573651" cy="24299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396581</xdr:colOff>
      <xdr:row>131</xdr:row>
      <xdr:rowOff>26626</xdr:rowOff>
    </xdr:from>
    <xdr:to>
      <xdr:col>105</xdr:col>
      <xdr:colOff>1335</xdr:colOff>
      <xdr:row>187</xdr:row>
      <xdr:rowOff>201572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42867" y="30987412"/>
          <a:ext cx="6290396" cy="14951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88</xdr:col>
      <xdr:colOff>434255</xdr:colOff>
      <xdr:row>130</xdr:row>
      <xdr:rowOff>97598</xdr:rowOff>
    </xdr:from>
    <xdr:to>
      <xdr:col>98</xdr:col>
      <xdr:colOff>427427</xdr:colOff>
      <xdr:row>187</xdr:row>
      <xdr:rowOff>51645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27541" y="30840669"/>
          <a:ext cx="6270600" cy="14948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31</xdr:col>
      <xdr:colOff>19780</xdr:colOff>
      <xdr:row>22</xdr:row>
      <xdr:rowOff>13606</xdr:rowOff>
    </xdr:from>
    <xdr:to>
      <xdr:col>62</xdr:col>
      <xdr:colOff>531775</xdr:colOff>
      <xdr:row>99</xdr:row>
      <xdr:rowOff>203715</xdr:rowOff>
    </xdr:to>
    <xdr:pic>
      <xdr:nvPicPr>
        <xdr:cNvPr id="2" name="_x185156296" descr="EMB00003da8585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" t="11663" r="1602" b="935"/>
        <a:stretch/>
      </xdr:blipFill>
      <xdr:spPr bwMode="auto">
        <a:xfrm>
          <a:off x="24893637" y="4871356"/>
          <a:ext cx="21766352" cy="184645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56</xdr:col>
      <xdr:colOff>332174</xdr:colOff>
      <xdr:row>21</xdr:row>
      <xdr:rowOff>283347</xdr:rowOff>
    </xdr:from>
    <xdr:to>
      <xdr:col>65</xdr:col>
      <xdr:colOff>668992</xdr:colOff>
      <xdr:row>84</xdr:row>
      <xdr:rowOff>1382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14960" y="4760097"/>
          <a:ext cx="6460032" cy="14687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648341</xdr:colOff>
      <xdr:row>10</xdr:row>
      <xdr:rowOff>64032</xdr:rowOff>
    </xdr:from>
    <xdr:to>
      <xdr:col>62</xdr:col>
      <xdr:colOff>296797</xdr:colOff>
      <xdr:row>71</xdr:row>
      <xdr:rowOff>79559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58576" y="2237973"/>
          <a:ext cx="6484044" cy="151357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685305</xdr:colOff>
      <xdr:row>4</xdr:row>
      <xdr:rowOff>55914</xdr:rowOff>
    </xdr:from>
    <xdr:to>
      <xdr:col>14</xdr:col>
      <xdr:colOff>433731</xdr:colOff>
      <xdr:row>23</xdr:row>
      <xdr:rowOff>124320</xdr:rowOff>
    </xdr:to>
    <xdr:pic>
      <xdr:nvPicPr>
        <xdr:cNvPr id="3" name="Picture 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877" b="32868"/>
        <a:stretch/>
      </xdr:blipFill>
      <xdr:spPr bwMode="auto">
        <a:xfrm>
          <a:off x="6857505" y="894114"/>
          <a:ext cx="3177426" cy="40974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607800</xdr:colOff>
      <xdr:row>47</xdr:row>
      <xdr:rowOff>47224</xdr:rowOff>
    </xdr:from>
    <xdr:to>
      <xdr:col>24</xdr:col>
      <xdr:colOff>192646</xdr:colOff>
      <xdr:row>77</xdr:row>
      <xdr:rowOff>19731</xdr:rowOff>
    </xdr:to>
    <xdr:pic>
      <xdr:nvPicPr>
        <xdr:cNvPr id="4" name="_x524315136" descr="EMB0000336063e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" t="17506" r="391" b="18027"/>
        <a:stretch/>
      </xdr:blipFill>
      <xdr:spPr bwMode="auto">
        <a:xfrm>
          <a:off x="5370300" y="9721903"/>
          <a:ext cx="11341417" cy="6095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310388</xdr:colOff>
      <xdr:row>22</xdr:row>
      <xdr:rowOff>137148</xdr:rowOff>
    </xdr:from>
    <xdr:to>
      <xdr:col>68</xdr:col>
      <xdr:colOff>337414</xdr:colOff>
      <xdr:row>88</xdr:row>
      <xdr:rowOff>151596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04495" y="5035719"/>
          <a:ext cx="12273455" cy="1545855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523875</xdr:colOff>
      <xdr:row>4</xdr:row>
      <xdr:rowOff>0</xdr:rowOff>
    </xdr:from>
    <xdr:to>
      <xdr:col>65</xdr:col>
      <xdr:colOff>377675</xdr:colOff>
      <xdr:row>83</xdr:row>
      <xdr:rowOff>35797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0" y="838200"/>
          <a:ext cx="26600000" cy="184190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7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1.xml"/></Relationships>
</file>

<file path=xl/worksheets/_rels/sheet7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7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3.xml"/></Relationships>
</file>

<file path=xl/worksheets/_rels/sheet7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4.xml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comments" Target="../comments5.xml"/><Relationship Id="rId1" Type="http://schemas.openxmlformats.org/officeDocument/2006/relationships/vmlDrawing" Target="../drawings/vmlDrawing5.vml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comments" Target="../comments6.xml"/><Relationship Id="rId1" Type="http://schemas.openxmlformats.org/officeDocument/2006/relationships/vmlDrawing" Target="../drawings/vmlDrawing6.vml"/></Relationships>
</file>

<file path=xl/worksheets/_rels/sheet83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printerSettings" Target="../printerSettings/printerSettings7.bin"/></Relationships>
</file>

<file path=xl/worksheets/_rels/sheet8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8.xml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FF33"/>
  </sheetPr>
  <dimension ref="A1:C2"/>
  <sheetViews>
    <sheetView workbookViewId="0">
      <selection activeCell="B1" sqref="B1"/>
    </sheetView>
  </sheetViews>
  <sheetFormatPr defaultRowHeight="17"/>
  <cols>
    <col min="2" max="3" width="16.6640625" bestFit="1" customWidth="1"/>
  </cols>
  <sheetData>
    <row r="1" spans="1:3">
      <c r="A1" s="433" t="s">
        <v>898</v>
      </c>
      <c r="B1" s="433">
        <v>2040</v>
      </c>
      <c r="C1" s="194"/>
    </row>
    <row r="2" spans="1:3">
      <c r="A2" s="194"/>
      <c r="B2" s="411"/>
      <c r="C2" s="411"/>
    </row>
  </sheetData>
  <phoneticPr fontId="2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'A.일산테크노밸리(859991)_수정'!EI91</f>
        <v>44.653872048518771</v>
      </c>
      <c r="C2" s="411">
        <f>'E.관광문화단지(849301)_수정'!ER17+'C.장항공공주택지구(849992)'!EZ137+'B.고양영상밸리(849991)_수정'!ER82</f>
        <v>37.824015200679611</v>
      </c>
    </row>
  </sheetData>
  <phoneticPr fontId="2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'A.일산테크노밸리(859991)_수정'!EI140</f>
        <v>44.510441859046459</v>
      </c>
      <c r="C2" s="411">
        <f>'E.관광문화단지(849301)_수정'!ER60+'C.장항공공주택지구(849992)'!EZ180+'B.고양영상밸리(849991)_수정'!ER108</f>
        <v>49.292146102254385</v>
      </c>
    </row>
  </sheetData>
  <phoneticPr fontId="2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905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'A.일산테크노밸리(859991)_수정'!EJ91</f>
        <v>1684.0340218921162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'A.일산테크노밸리(859991)_수정'!EJ140</f>
        <v>1684.2312137393226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'A.일산테크노밸리(859991)_수정'!EH91</f>
        <v>11025.324994211423</v>
      </c>
      <c r="C2" s="411">
        <f>'E.관광문화단지(849301)_수정'!EQ17+'D.cj라이브시티(849201)_수정'!EQ36+'B.고양영상밸리(849991)_수정'!EQ82</f>
        <v>8573.0265713090484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'A.일산테크노밸리(859991)_수정'!EH140</f>
        <v>11190.625044767681</v>
      </c>
      <c r="C2" s="411">
        <f>'E.관광문화단지(849301)_수정'!EQ60+'D.cj라이브시티(849201)_수정'!EQ79+'B.고양영상밸리(849991)_수정'!EQ108</f>
        <v>8592.1399320042437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'A.일산테크노밸리(859991)_수정'!EI91</f>
        <v>44.653872048518771</v>
      </c>
      <c r="C2" s="411">
        <f>'E.관광문화단지(849301)_수정'!ER17+'D.cj라이브시티(849201)_수정'!ER36+'B.고양영상밸리(849991)_수정'!ER82</f>
        <v>22.687947797012043</v>
      </c>
    </row>
  </sheetData>
  <phoneticPr fontId="2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'A.일산테크노밸리(859991)_수정'!EI140</f>
        <v>44.510441859046459</v>
      </c>
      <c r="C2" s="411">
        <f>'E.관광문화단지(849301)_수정'!ER60+'D.cj라이브시티(849201)_수정'!ER79+'B.고양영상밸리(849991)_수정'!ER108</f>
        <v>22.685796157675107</v>
      </c>
    </row>
  </sheetData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906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'A.일산테크노밸리(859991)_수정'!EJ91</f>
        <v>1684.0340218921162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'A.일산테크노밸리(859991)_수정'!EJ140</f>
        <v>1684.2312137393226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2" sqref="C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'A.일산테크노밸리(859991)_수정'!EH91</f>
        <v>11025.324994211423</v>
      </c>
      <c r="C2" s="411">
        <f>'D.cj라이브시티(849201)_수정'!EQ36+'C.장항공공주택지구(849992)'!EY137+'B.고양영상밸리(849991)_수정'!EQ82</f>
        <v>15953.975240705762</v>
      </c>
    </row>
  </sheetData>
  <phoneticPr fontId="2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'A.일산테크노밸리(859991)_수정'!EH91</f>
        <v>11025.324994211423</v>
      </c>
      <c r="C2" s="411">
        <f>'E.관광문화단지(849301)_수정'!EQ17+'D.cj라이브시티(849201)_수정'!EQ36+'C.장항공공주택지구(849992)'!EY137</f>
        <v>12691.809094333548</v>
      </c>
    </row>
  </sheetData>
  <phoneticPr fontId="2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'A.일산테크노밸리(859991)_수정'!EH140</f>
        <v>11190.625044767681</v>
      </c>
      <c r="C2" s="411">
        <f>'E.관광문화단지(849301)_수정'!EQ60+'D.cj라이브시티(849201)_수정'!EQ79+'C.장항공공주택지구(849992)'!EY180</f>
        <v>12699.202871682366</v>
      </c>
    </row>
  </sheetData>
  <phoneticPr fontId="2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'A.일산테크노밸리(859991)_수정'!EI91</f>
        <v>44.653872048518771</v>
      </c>
      <c r="C2" s="411">
        <f>'E.관광문화단지(849301)_수정'!ER17+'D.cj라이브시티(849201)_수정'!ER36+'C.장항공공주택지구(849992)'!EZ137</f>
        <v>25.291394660231234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907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'A.일산테크노밸리(859991)_수정'!EI140</f>
        <v>44.510441859046459</v>
      </c>
      <c r="C2" s="411">
        <f>'E.관광문화단지(849301)_수정'!ER60+'D.cj라이브시티(849201)_수정'!ER79+'C.장항공공주택지구(849992)'!EZ180</f>
        <v>36.759525561806001</v>
      </c>
    </row>
  </sheetData>
  <phoneticPr fontId="2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905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'A.일산테크노밸리(859991)_수정'!EJ91</f>
        <v>1684.0340218921162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'A.일산테크노밸리(859991)_수정'!EJ140</f>
        <v>1684.2312137393226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'E.관광문화단지(849301)_수정'!EQ17+'D.cj라이브시티(849201)_수정'!EQ36+'C.장항공공주택지구(849992)'!EY137+'B.고양영상밸리(849991)_수정'!EQ82</f>
        <v>18215.427872188811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C2" sqref="C2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'E.관광문화단지(849301)_수정'!EQ60+'D.cj라이브시티(849201)_수정'!EQ79+'C.장항공공주택지구(849992)'!EY180+'B.고양영상밸리(849991)_수정'!EQ108</f>
        <v>18235.661484262815</v>
      </c>
    </row>
  </sheetData>
  <phoneticPr fontId="2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'E.관광문화단지(849301)_수정'!ER17+'D.cj라이브시티(849201)_수정'!ER36+'C.장항공공주택지구(849992)'!EZ137+'B.고양영상밸리(849991)_수정'!ER82</f>
        <v>39.909286421114949</v>
      </c>
    </row>
  </sheetData>
  <phoneticPr fontId="2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'E.관광문화단지(849301)_수정'!ER60+'D.cj라이브시티(849201)_수정'!ER79+'C.장항공공주택지구(849992)'!EZ180+'B.고양영상밸리(849991)_수정'!ER108</f>
        <v>51.377417322689716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'A.일산테크노밸리(859991)_수정'!EH140</f>
        <v>11190.625044767681</v>
      </c>
      <c r="C2" s="411">
        <f>'D.cj라이브시티(849201)_수정'!EQ79+'C.장항공공주택지구(849992)'!EY180+'B.고양영상밸리(849991)_수정'!EQ108</f>
        <v>15969.766954671388</v>
      </c>
    </row>
  </sheetData>
  <phoneticPr fontId="2" type="noConversion"/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905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3" sqref="A3"/>
    </sheetView>
  </sheetViews>
  <sheetFormatPr defaultRowHeight="17"/>
  <cols>
    <col min="2" max="3" width="16.66406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3" width="16.66406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CCC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'A.일산테크노밸리(859991)_수정'!EH90</f>
        <v>11025.324994211423</v>
      </c>
      <c r="C2" s="411">
        <v>0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7.75" bestFit="1" customWidth="1"/>
    <col min="3" max="3" width="15.582031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'A.일산테크노밸리(859991)_수정'!EH139</f>
        <v>11190.625044767681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I38" sqref="I38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'A.일산테크노밸리(859991)_수정'!EI91</f>
        <v>44.653872048518771</v>
      </c>
      <c r="C2" s="411">
        <f>'D.cj라이브시티(849201)_수정'!ER36+'C.장항공공주택지구(849992)'!EZ137+'B.고양영상밸리(849991)_수정'!ER82</f>
        <v>33.924501605421952</v>
      </c>
    </row>
  </sheetData>
  <phoneticPr fontId="2" type="noConversion"/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414062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'A.일산테크노밸리(859991)_수정'!EI90</f>
        <v>44.653872048518771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4.5" bestFit="1" customWidth="1"/>
    <col min="3" max="3" width="13.414062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'A.일산테크노밸리(859991)_수정'!EI139</f>
        <v>44.510441859046459</v>
      </c>
      <c r="C2" s="411">
        <v>0</v>
      </c>
    </row>
  </sheetData>
  <phoneticPr fontId="2" type="noConversion"/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'A.일산테크노밸리(859991)_수정'!EJ90</f>
        <v>1684.0340218921162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"/>
  <sheetViews>
    <sheetView workbookViewId="0">
      <selection activeCell="B2" sqref="B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'A.일산테크노밸리(859991)_수정'!EJ139</f>
        <v>1684.2312137393226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50" sqref="C50"/>
    </sheetView>
  </sheetViews>
  <sheetFormatPr defaultRowHeight="17"/>
  <cols>
    <col min="2" max="2" width="13.4140625" bestFit="1" customWidth="1"/>
    <col min="3" max="3" width="16.664062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'B.고양영상밸리(849991)_수정'!EQ82</f>
        <v>5523.6187778552649</v>
      </c>
    </row>
  </sheetData>
  <phoneticPr fontId="2" type="noConversion"/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3" sqref="C3"/>
    </sheetView>
  </sheetViews>
  <sheetFormatPr defaultRowHeight="17"/>
  <cols>
    <col min="2" max="2" width="13.4140625" bestFit="1" customWidth="1"/>
    <col min="3" max="3" width="16.664062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'B.고양영상밸리(849991)_수정'!EQ108</f>
        <v>5536.4586125804481</v>
      </c>
    </row>
  </sheetData>
  <phoneticPr fontId="2" type="noConversion"/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'B.고양영상밸리(849991)_수정'!ER82</f>
        <v>14.617891760883715</v>
      </c>
    </row>
  </sheetData>
  <phoneticPr fontId="2" type="noConversion"/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topLeftCell="A2" workbookViewId="0">
      <selection activeCell="C52" sqref="C5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'B.고양영상밸리(849991)_수정'!ER108</f>
        <v>14.617891760883715</v>
      </c>
    </row>
  </sheetData>
  <phoneticPr fontId="2" type="noConversion"/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A2" sqref="A2"/>
    </sheetView>
  </sheetViews>
  <sheetFormatPr defaultRowHeight="17"/>
  <cols>
    <col min="2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CCCFF"/>
  </sheetPr>
  <dimension ref="A1:C2"/>
  <sheetViews>
    <sheetView workbookViewId="0">
      <selection activeCell="A2" sqref="A2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C2" sqref="C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902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'A.일산테크노밸리(859991)_수정'!EI140</f>
        <v>44.510441859046459</v>
      </c>
      <c r="C2" s="411">
        <f>'D.cj라이브시티(849201)_수정'!ER79+'C.장항공공주택지구(849992)'!EZ180+'B.고양영상밸리(849991)_수정'!ER108</f>
        <v>45.394784146333663</v>
      </c>
    </row>
  </sheetData>
  <phoneticPr fontId="2" type="noConversion"/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'C.장항공공주택지구(849992)'!EY137</f>
        <v>9642.4013008797647</v>
      </c>
    </row>
  </sheetData>
  <phoneticPr fontId="2" type="noConversion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A2" sqref="A2"/>
    </sheetView>
  </sheetViews>
  <sheetFormatPr defaultRowHeight="17"/>
  <cols>
    <col min="2" max="2" width="13.4140625" bestFit="1" customWidth="1"/>
    <col min="3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'C.장항공공주택지구(849992)'!EY180</f>
        <v>9643.5215522585713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'C.장항공공주택지구(849992)'!EZ137</f>
        <v>17.221338624102906</v>
      </c>
    </row>
  </sheetData>
  <phoneticPr fontId="2" type="noConversion"/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C2" sqref="C2"/>
    </sheetView>
  </sheetViews>
  <sheetFormatPr defaultRowHeight="17"/>
  <cols>
    <col min="2" max="2" width="13.414062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'C.장항공공주택지구(849992)'!EZ180</f>
        <v>28.691621165014613</v>
      </c>
    </row>
  </sheetData>
  <phoneticPr fontId="2" type="noConversion"/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Y50" sqref="Y50"/>
    </sheetView>
  </sheetViews>
  <sheetFormatPr defaultRowHeight="17"/>
  <cols>
    <col min="2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79998168889431442"/>
  </sheetPr>
  <dimension ref="A1:C2"/>
  <sheetViews>
    <sheetView workbookViewId="0">
      <selection activeCell="B2" sqref="B2"/>
    </sheetView>
  </sheetViews>
  <sheetFormatPr defaultRowHeight="17"/>
  <cols>
    <col min="2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T41" sqref="T41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'D.cj라이브시티(849201)_수정'!EQ36</f>
        <v>787.95516197073357</v>
      </c>
    </row>
  </sheetData>
  <phoneticPr fontId="2" type="noConversion"/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C52" sqref="C5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'D.cj라이브시티(849201)_수정'!EQ79</f>
        <v>789.78678983236671</v>
      </c>
    </row>
  </sheetData>
  <phoneticPr fontId="2" type="noConversion"/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34">
        <f>'D.cj라이브시티(849201)_수정'!ER36</f>
        <v>2.0852712204353341</v>
      </c>
    </row>
  </sheetData>
  <phoneticPr fontId="2" type="noConversion"/>
  <pageMargins left="0.7" right="0.7" top="0.75" bottom="0.75" header="0.3" footer="0.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'D.cj라이브시티(849201)_수정'!ER79</f>
        <v>2.0852712204353345</v>
      </c>
    </row>
  </sheetData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workbookViewId="0">
      <selection activeCell="B2" sqref="B2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903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'A.일산테크노밸리(859991)_수정'!EJ91</f>
        <v>1684.0340218921162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A2" sqref="A2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C2"/>
  <sheetViews>
    <sheetView workbookViewId="0">
      <selection activeCell="K11" sqref="K11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A2" sqref="A2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'E.관광문화단지(849301)_수정'!EQ17</f>
        <v>2261.4526314830505</v>
      </c>
    </row>
  </sheetData>
  <phoneticPr fontId="2" type="noConversion"/>
  <pageMargins left="0.7" right="0.7" top="0.75" bottom="0.75" header="0.3" footer="0.3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sqref="A1:C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'E.관광문화단지(849301)_수정'!EQ60</f>
        <v>2265.8945295914282</v>
      </c>
    </row>
  </sheetData>
  <phoneticPr fontId="2" type="noConversion"/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topLeftCell="A2" workbookViewId="0">
      <selection activeCell="C52" sqref="C5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'E.관광문화단지(849301)_수정'!ER17</f>
        <v>5.9847848156929944</v>
      </c>
    </row>
  </sheetData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Q6" sqref="Q6"/>
    </sheetView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v>0</v>
      </c>
      <c r="C2" s="411">
        <f>'E.관광문화단지(849301)_수정'!ER60</f>
        <v>5.9826331763560567</v>
      </c>
    </row>
  </sheetData>
  <phoneticPr fontId="2" type="noConversion"/>
  <pageMargins left="0.7" right="0.7" top="0.75" bottom="0.75" header="0.3" footer="0.3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U11" sqref="U11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832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249977111117893"/>
  </sheetPr>
  <dimension ref="A1:C2"/>
  <sheetViews>
    <sheetView workbookViewId="0">
      <selection activeCell="L16" sqref="L16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v>0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N16" sqref="N16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'A.일산테크노밸리(859991)_수정'!EH90</f>
        <v>11025.324994211423</v>
      </c>
      <c r="C2" s="411">
        <f>'E.관광문화단지(849301)_수정'!EQ17+'D.cj라이브시티(849201)_수정'!EQ36+'C.장항공공주택지구(849992)'!EY137+'B.고양영상밸리(849991)_수정'!EQ82</f>
        <v>18215.427872188811</v>
      </c>
    </row>
  </sheetData>
  <phoneticPr fontId="2" type="noConversion"/>
  <pageMargins left="0.7" right="0.7" top="0.75" bottom="0.75" header="0.3" footer="0.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Q12" sqref="Q12"/>
    </sheetView>
  </sheetViews>
  <sheetFormatPr defaultRowHeight="17"/>
  <cols>
    <col min="2" max="3" width="17.75" bestFit="1" customWidth="1"/>
  </cols>
  <sheetData>
    <row r="1" spans="1:3">
      <c r="A1" s="194" t="s">
        <v>829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'A.일산테크노밸리(859991)_수정'!EH139</f>
        <v>11190.625044767681</v>
      </c>
      <c r="C2" s="411">
        <f>'E.관광문화단지(849301)_수정'!EQ60+'D.cj라이브시티(849201)_수정'!EQ79+'C.장항공공주택지구(849992)'!EY180+'B.고양영상밸리(849991)_수정'!EQ108</f>
        <v>18235.661484262815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0.499984740745262"/>
  </sheetPr>
  <dimension ref="A1:C2"/>
  <sheetViews>
    <sheetView tabSelected="1" workbookViewId="0">
      <selection activeCell="I38" sqref="I38"/>
    </sheetView>
  </sheetViews>
  <sheetFormatPr defaultRowHeight="17"/>
  <cols>
    <col min="2" max="2" width="15.58203125" bestFit="1" customWidth="1"/>
    <col min="3" max="3" width="13.5" bestFit="1" customWidth="1"/>
  </cols>
  <sheetData>
    <row r="1" spans="1:3">
      <c r="A1" s="194" t="s">
        <v>904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'A.일산테크노밸리(859991)_수정'!EJ140</f>
        <v>1684.2312137393226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C2" sqref="A1:C2"/>
    </sheetView>
  </sheetViews>
  <sheetFormatPr defaultRowHeight="17"/>
  <cols>
    <col min="2" max="3" width="14.5" bestFit="1" customWidth="1"/>
  </cols>
  <sheetData>
    <row r="1" spans="1:3">
      <c r="A1" s="194" t="s">
        <v>830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'A.일산테크노밸리(859991)_수정'!EI90</f>
        <v>44.653872048518771</v>
      </c>
      <c r="C2" s="411">
        <f>'E.관광문화단지(849301)_수정'!ER17+'D.cj라이브시티(849201)_수정'!ER36+'C.장항공공주택지구(849992)'!EZ137+'B.고양영상밸리(849991)_수정'!ER82</f>
        <v>39.909286421114949</v>
      </c>
    </row>
  </sheetData>
  <phoneticPr fontId="2" type="noConversion"/>
  <pageMargins left="0.7" right="0.7" top="0.75" bottom="0.75" header="0.3" footer="0.3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/>
  </sheetViews>
  <sheetFormatPr defaultRowHeight="17"/>
  <cols>
    <col min="2" max="2" width="17.75" bestFit="1" customWidth="1"/>
    <col min="3" max="3" width="14.5" bestFit="1" customWidth="1"/>
  </cols>
  <sheetData>
    <row r="1" spans="1:3">
      <c r="A1" s="194" t="s">
        <v>831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'A.일산테크노밸리(859991)_수정'!EI139</f>
        <v>44.510441859046459</v>
      </c>
      <c r="C2" s="411">
        <f>'E.관광문화단지(849301)_수정'!ER60+'D.cj라이브시티(849201)_수정'!ER79+'C.장항공공주택지구(849992)'!EZ180+'B.고양영상밸리(849991)_수정'!ER108</f>
        <v>51.377417322689716</v>
      </c>
    </row>
  </sheetData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Z13" sqref="Z13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899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'A.일산테크노밸리(859991)_수정'!EJ90</f>
        <v>1684.0340218921162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79998168889431442"/>
  </sheetPr>
  <dimension ref="A1:C2"/>
  <sheetViews>
    <sheetView workbookViewId="0">
      <selection activeCell="H24" sqref="H24"/>
    </sheetView>
  </sheetViews>
  <sheetFormatPr defaultRowHeight="17"/>
  <cols>
    <col min="2" max="2" width="15.6640625" bestFit="1" customWidth="1"/>
    <col min="3" max="3" width="13.5" bestFit="1" customWidth="1"/>
  </cols>
  <sheetData>
    <row r="1" spans="1:3">
      <c r="A1" s="194" t="s">
        <v>833</v>
      </c>
      <c r="B1" s="194">
        <v>859</v>
      </c>
      <c r="C1" s="194">
        <v>849</v>
      </c>
    </row>
    <row r="2" spans="1:3">
      <c r="A2" s="194">
        <f>기준년도설정!B1</f>
        <v>2040</v>
      </c>
      <c r="B2" s="410">
        <f>'A.일산테크노밸리(859991)_수정'!EJ139</f>
        <v>1684.2312137393226</v>
      </c>
      <c r="C2" s="410">
        <v>0</v>
      </c>
    </row>
  </sheetData>
  <phoneticPr fontId="2" type="noConversion"/>
  <pageMargins left="0.7" right="0.7" top="0.75" bottom="0.75" header="0.3" footer="0.3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79998168889431442"/>
  </sheetPr>
  <dimension ref="A1:FH67"/>
  <sheetViews>
    <sheetView topLeftCell="A37" zoomScale="85" zoomScaleNormal="85" workbookViewId="0">
      <selection activeCell="Y75" sqref="Y75"/>
    </sheetView>
  </sheetViews>
  <sheetFormatPr defaultRowHeight="17"/>
  <cols>
    <col min="13" max="13" width="10.08203125" bestFit="1" customWidth="1"/>
    <col min="27" max="27" width="10.08203125" bestFit="1" customWidth="1"/>
    <col min="41" max="41" width="10.08203125" bestFit="1" customWidth="1"/>
  </cols>
  <sheetData>
    <row r="1" spans="1:158">
      <c r="A1" s="32" t="s">
        <v>234</v>
      </c>
    </row>
    <row r="2" spans="1:158">
      <c r="B2" t="s">
        <v>153</v>
      </c>
      <c r="C2" t="s">
        <v>729</v>
      </c>
    </row>
    <row r="4" spans="1:158">
      <c r="B4" s="447" t="s">
        <v>730</v>
      </c>
      <c r="C4" s="447"/>
      <c r="D4" s="447" t="s">
        <v>732</v>
      </c>
      <c r="E4" s="447"/>
      <c r="F4" s="447" t="s">
        <v>740</v>
      </c>
      <c r="G4" s="447"/>
      <c r="H4" s="447" t="s">
        <v>735</v>
      </c>
      <c r="I4" s="447"/>
      <c r="J4" s="447" t="s">
        <v>736</v>
      </c>
      <c r="K4" s="447"/>
      <c r="L4" s="447" t="s">
        <v>738</v>
      </c>
      <c r="M4" s="447"/>
    </row>
    <row r="5" spans="1:158" ht="23">
      <c r="B5" t="s">
        <v>733</v>
      </c>
      <c r="C5" t="s">
        <v>734</v>
      </c>
      <c r="D5" t="s">
        <v>733</v>
      </c>
      <c r="E5" t="s">
        <v>734</v>
      </c>
      <c r="F5" t="s">
        <v>733</v>
      </c>
      <c r="G5" t="s">
        <v>734</v>
      </c>
      <c r="H5" t="s">
        <v>733</v>
      </c>
      <c r="I5" t="s">
        <v>734</v>
      </c>
      <c r="J5" t="s">
        <v>737</v>
      </c>
      <c r="K5" t="s">
        <v>731</v>
      </c>
      <c r="L5" t="s">
        <v>733</v>
      </c>
      <c r="M5" t="s">
        <v>739</v>
      </c>
      <c r="O5" s="351"/>
    </row>
    <row r="6" spans="1:158">
      <c r="A6" t="s">
        <v>741</v>
      </c>
      <c r="B6">
        <v>1764</v>
      </c>
      <c r="C6">
        <v>1764</v>
      </c>
      <c r="D6">
        <v>769</v>
      </c>
      <c r="E6">
        <v>769</v>
      </c>
      <c r="F6">
        <v>954</v>
      </c>
      <c r="G6">
        <v>954</v>
      </c>
      <c r="H6">
        <v>1767</v>
      </c>
      <c r="I6">
        <v>1767</v>
      </c>
      <c r="J6">
        <v>276</v>
      </c>
      <c r="K6">
        <v>276</v>
      </c>
      <c r="L6">
        <v>5530</v>
      </c>
      <c r="M6">
        <v>5530</v>
      </c>
    </row>
    <row r="7" spans="1:158">
      <c r="A7" t="s">
        <v>742</v>
      </c>
      <c r="B7">
        <v>1783</v>
      </c>
      <c r="C7">
        <v>1785</v>
      </c>
      <c r="D7">
        <v>796</v>
      </c>
      <c r="E7">
        <v>798</v>
      </c>
      <c r="F7">
        <v>923</v>
      </c>
      <c r="G7">
        <v>922</v>
      </c>
      <c r="H7">
        <v>1803</v>
      </c>
      <c r="I7">
        <v>1801</v>
      </c>
      <c r="J7">
        <v>256</v>
      </c>
      <c r="K7">
        <v>257</v>
      </c>
      <c r="L7">
        <v>5561</v>
      </c>
      <c r="M7">
        <v>5563</v>
      </c>
    </row>
    <row r="8" spans="1:158">
      <c r="EU8" s="32" t="s">
        <v>863</v>
      </c>
    </row>
    <row r="9" spans="1:158">
      <c r="ET9" s="279"/>
      <c r="EU9" s="279" t="s">
        <v>601</v>
      </c>
    </row>
    <row r="10" spans="1:158">
      <c r="ET10" s="279" t="s">
        <v>602</v>
      </c>
      <c r="EU10" s="293">
        <v>1</v>
      </c>
    </row>
    <row r="11" spans="1:158">
      <c r="J11" s="403"/>
      <c r="K11" s="32" t="s">
        <v>851</v>
      </c>
    </row>
    <row r="13" spans="1:158" s="227" customFormat="1" ht="19.5">
      <c r="A13" s="329">
        <v>2025</v>
      </c>
      <c r="B13" s="282"/>
      <c r="C13" s="283"/>
      <c r="D13" s="284"/>
      <c r="E13" s="284"/>
      <c r="F13" s="284"/>
      <c r="G13" s="284"/>
      <c r="H13" s="284"/>
      <c r="I13" s="284"/>
      <c r="K13" s="282"/>
      <c r="L13" s="282"/>
      <c r="M13" s="283"/>
      <c r="N13" s="284"/>
      <c r="O13" s="284"/>
      <c r="P13" s="284"/>
      <c r="Q13" s="284"/>
      <c r="R13" s="284"/>
      <c r="S13" s="284"/>
    </row>
    <row r="14" spans="1:158" ht="23.5" thickBot="1">
      <c r="A14" s="32" t="s">
        <v>468</v>
      </c>
      <c r="C14" t="s">
        <v>463</v>
      </c>
      <c r="D14" t="s">
        <v>467</v>
      </c>
      <c r="E14" t="s">
        <v>470</v>
      </c>
      <c r="F14" t="s">
        <v>465</v>
      </c>
      <c r="G14" t="s">
        <v>466</v>
      </c>
      <c r="H14" t="s">
        <v>21</v>
      </c>
      <c r="K14" s="32" t="s">
        <v>471</v>
      </c>
      <c r="CV14" s="32" t="s">
        <v>492</v>
      </c>
      <c r="CY14" t="s">
        <v>478</v>
      </c>
      <c r="CZ14" t="s">
        <v>479</v>
      </c>
      <c r="EL14" s="353" t="s">
        <v>854</v>
      </c>
      <c r="EV14" s="353" t="s">
        <v>745</v>
      </c>
    </row>
    <row r="15" spans="1:158">
      <c r="A15" t="s">
        <v>462</v>
      </c>
      <c r="C15" t="s">
        <v>427</v>
      </c>
      <c r="D15" t="s">
        <v>428</v>
      </c>
      <c r="E15" t="s">
        <v>429</v>
      </c>
      <c r="F15" t="s">
        <v>430</v>
      </c>
      <c r="G15" t="s">
        <v>431</v>
      </c>
      <c r="H15" t="s">
        <v>457</v>
      </c>
      <c r="K15" s="159" t="s">
        <v>482</v>
      </c>
      <c r="L15" s="159"/>
      <c r="M15" s="443" t="s">
        <v>463</v>
      </c>
      <c r="N15" s="444"/>
      <c r="O15" s="444"/>
      <c r="P15" s="444"/>
      <c r="Q15" s="444"/>
      <c r="R15" s="444"/>
      <c r="S15" s="444"/>
      <c r="T15" s="444"/>
      <c r="U15" s="444"/>
      <c r="V15" s="444"/>
      <c r="W15" s="444"/>
      <c r="X15" s="444"/>
      <c r="Y15" s="444"/>
      <c r="Z15" s="445"/>
      <c r="AA15" s="443" t="s">
        <v>467</v>
      </c>
      <c r="AB15" s="444"/>
      <c r="AC15" s="444"/>
      <c r="AD15" s="444"/>
      <c r="AE15" s="444"/>
      <c r="AF15" s="444"/>
      <c r="AG15" s="444"/>
      <c r="AH15" s="444"/>
      <c r="AI15" s="444"/>
      <c r="AJ15" s="444"/>
      <c r="AK15" s="444"/>
      <c r="AL15" s="444"/>
      <c r="AM15" s="444"/>
      <c r="AN15" s="445"/>
      <c r="AO15" s="443" t="s">
        <v>464</v>
      </c>
      <c r="AP15" s="444"/>
      <c r="AQ15" s="444"/>
      <c r="AR15" s="444"/>
      <c r="AS15" s="444"/>
      <c r="AT15" s="444"/>
      <c r="AU15" s="444"/>
      <c r="AV15" s="444"/>
      <c r="AW15" s="444"/>
      <c r="AX15" s="444"/>
      <c r="AY15" s="444"/>
      <c r="AZ15" s="444"/>
      <c r="BA15" s="444"/>
      <c r="BB15" s="445"/>
      <c r="BC15" s="443" t="s">
        <v>465</v>
      </c>
      <c r="BD15" s="444"/>
      <c r="BE15" s="444"/>
      <c r="BF15" s="444"/>
      <c r="BG15" s="444"/>
      <c r="BH15" s="444"/>
      <c r="BI15" s="444"/>
      <c r="BJ15" s="444"/>
      <c r="BK15" s="444"/>
      <c r="BL15" s="444"/>
      <c r="BM15" s="444"/>
      <c r="BN15" s="444"/>
      <c r="BO15" s="444"/>
      <c r="BP15" s="445"/>
      <c r="BQ15" s="443" t="s">
        <v>466</v>
      </c>
      <c r="BR15" s="444"/>
      <c r="BS15" s="444"/>
      <c r="BT15" s="444"/>
      <c r="BU15" s="444"/>
      <c r="BV15" s="444"/>
      <c r="BW15" s="444"/>
      <c r="BX15" s="444"/>
      <c r="BY15" s="444"/>
      <c r="BZ15" s="444"/>
      <c r="CA15" s="444"/>
      <c r="CB15" s="444"/>
      <c r="CC15" s="444"/>
      <c r="CD15" s="445"/>
      <c r="CE15" s="443" t="s">
        <v>21</v>
      </c>
      <c r="CF15" s="444"/>
      <c r="CG15" s="444"/>
      <c r="CH15" s="444"/>
      <c r="CI15" s="444"/>
      <c r="CJ15" s="444"/>
      <c r="CK15" s="444"/>
      <c r="CL15" s="444"/>
      <c r="CM15" s="444"/>
      <c r="CN15" s="444"/>
      <c r="CO15" s="444"/>
      <c r="CP15" s="444"/>
      <c r="CQ15" s="444"/>
      <c r="CR15" s="445"/>
      <c r="CV15" s="263" t="s">
        <v>482</v>
      </c>
      <c r="CW15" s="263"/>
      <c r="CX15" s="446" t="s">
        <v>554</v>
      </c>
      <c r="CY15" s="439"/>
      <c r="CZ15" s="439"/>
      <c r="DA15" s="440"/>
      <c r="DB15" s="438" t="s">
        <v>553</v>
      </c>
      <c r="DC15" s="439"/>
      <c r="DD15" s="439"/>
      <c r="DE15" s="440"/>
      <c r="DF15" s="438" t="s">
        <v>464</v>
      </c>
      <c r="DG15" s="439"/>
      <c r="DH15" s="439"/>
      <c r="DI15" s="440"/>
      <c r="DJ15" s="438" t="s">
        <v>465</v>
      </c>
      <c r="DK15" s="439"/>
      <c r="DL15" s="439"/>
      <c r="DM15" s="440"/>
      <c r="DN15" s="438" t="s">
        <v>466</v>
      </c>
      <c r="DO15" s="439"/>
      <c r="DP15" s="439"/>
      <c r="DQ15" s="440"/>
      <c r="DR15" s="438" t="s">
        <v>21</v>
      </c>
      <c r="DS15" s="439"/>
      <c r="DT15" s="439"/>
      <c r="DU15" s="441"/>
      <c r="DW15" s="278"/>
      <c r="DX15" s="278"/>
      <c r="DY15" s="442" t="s">
        <v>588</v>
      </c>
      <c r="DZ15" s="442"/>
      <c r="EB15" s="278"/>
      <c r="EC15" s="278"/>
      <c r="ED15" s="442" t="s">
        <v>588</v>
      </c>
      <c r="EE15" s="442"/>
      <c r="EI15" t="s">
        <v>599</v>
      </c>
    </row>
    <row r="16" spans="1:158">
      <c r="A16" s="199"/>
      <c r="B16" s="199"/>
      <c r="C16" s="202" t="s">
        <v>463</v>
      </c>
      <c r="D16" s="202" t="s">
        <v>467</v>
      </c>
      <c r="E16" s="202" t="s">
        <v>464</v>
      </c>
      <c r="F16" s="202" t="s">
        <v>465</v>
      </c>
      <c r="G16" s="202" t="s">
        <v>558</v>
      </c>
      <c r="H16" s="202" t="s">
        <v>21</v>
      </c>
      <c r="K16" s="159"/>
      <c r="L16" s="159"/>
      <c r="M16" s="211" t="s">
        <v>472</v>
      </c>
      <c r="N16" s="160" t="s">
        <v>156</v>
      </c>
      <c r="O16" s="160" t="s">
        <v>475</v>
      </c>
      <c r="P16" s="160" t="s">
        <v>476</v>
      </c>
      <c r="Q16" s="160" t="s">
        <v>477</v>
      </c>
      <c r="R16" s="160" t="s">
        <v>478</v>
      </c>
      <c r="S16" s="160" t="s">
        <v>479</v>
      </c>
      <c r="T16" s="160" t="s">
        <v>480</v>
      </c>
      <c r="U16" s="160" t="s">
        <v>449</v>
      </c>
      <c r="V16" s="160" t="s">
        <v>157</v>
      </c>
      <c r="W16" s="160" t="s">
        <v>473</v>
      </c>
      <c r="X16" s="160" t="s">
        <v>474</v>
      </c>
      <c r="Y16" s="160" t="s">
        <v>46</v>
      </c>
      <c r="Z16" s="212" t="s">
        <v>11</v>
      </c>
      <c r="AA16" s="211" t="s">
        <v>472</v>
      </c>
      <c r="AB16" s="160" t="s">
        <v>156</v>
      </c>
      <c r="AC16" s="160" t="s">
        <v>475</v>
      </c>
      <c r="AD16" s="160" t="s">
        <v>476</v>
      </c>
      <c r="AE16" s="160" t="s">
        <v>477</v>
      </c>
      <c r="AF16" s="160" t="s">
        <v>478</v>
      </c>
      <c r="AG16" s="160" t="s">
        <v>479</v>
      </c>
      <c r="AH16" s="160" t="s">
        <v>480</v>
      </c>
      <c r="AI16" s="160" t="s">
        <v>449</v>
      </c>
      <c r="AJ16" s="160" t="s">
        <v>157</v>
      </c>
      <c r="AK16" s="160" t="s">
        <v>473</v>
      </c>
      <c r="AL16" s="160" t="s">
        <v>474</v>
      </c>
      <c r="AM16" s="160" t="s">
        <v>46</v>
      </c>
      <c r="AN16" s="212" t="s">
        <v>11</v>
      </c>
      <c r="AO16" s="211" t="s">
        <v>472</v>
      </c>
      <c r="AP16" s="160" t="s">
        <v>156</v>
      </c>
      <c r="AQ16" s="160" t="s">
        <v>475</v>
      </c>
      <c r="AR16" s="160" t="s">
        <v>476</v>
      </c>
      <c r="AS16" s="160" t="s">
        <v>477</v>
      </c>
      <c r="AT16" s="160" t="s">
        <v>478</v>
      </c>
      <c r="AU16" s="160" t="s">
        <v>479</v>
      </c>
      <c r="AV16" s="160" t="s">
        <v>480</v>
      </c>
      <c r="AW16" s="160" t="s">
        <v>449</v>
      </c>
      <c r="AX16" s="160" t="s">
        <v>157</v>
      </c>
      <c r="AY16" s="160" t="s">
        <v>473</v>
      </c>
      <c r="AZ16" s="160" t="s">
        <v>474</v>
      </c>
      <c r="BA16" s="160" t="s">
        <v>46</v>
      </c>
      <c r="BB16" s="212" t="s">
        <v>11</v>
      </c>
      <c r="BC16" s="211" t="s">
        <v>472</v>
      </c>
      <c r="BD16" s="160" t="s">
        <v>156</v>
      </c>
      <c r="BE16" s="160" t="s">
        <v>475</v>
      </c>
      <c r="BF16" s="160" t="s">
        <v>476</v>
      </c>
      <c r="BG16" s="160" t="s">
        <v>477</v>
      </c>
      <c r="BH16" s="160" t="s">
        <v>478</v>
      </c>
      <c r="BI16" s="160" t="s">
        <v>479</v>
      </c>
      <c r="BJ16" s="160" t="s">
        <v>480</v>
      </c>
      <c r="BK16" s="160" t="s">
        <v>449</v>
      </c>
      <c r="BL16" s="160" t="s">
        <v>157</v>
      </c>
      <c r="BM16" s="160" t="s">
        <v>473</v>
      </c>
      <c r="BN16" s="160" t="s">
        <v>474</v>
      </c>
      <c r="BO16" s="160" t="s">
        <v>46</v>
      </c>
      <c r="BP16" s="212" t="s">
        <v>11</v>
      </c>
      <c r="BQ16" s="211" t="s">
        <v>472</v>
      </c>
      <c r="BR16" s="160" t="s">
        <v>156</v>
      </c>
      <c r="BS16" s="160" t="s">
        <v>475</v>
      </c>
      <c r="BT16" s="160" t="s">
        <v>476</v>
      </c>
      <c r="BU16" s="160" t="s">
        <v>477</v>
      </c>
      <c r="BV16" s="160" t="s">
        <v>478</v>
      </c>
      <c r="BW16" s="160" t="s">
        <v>479</v>
      </c>
      <c r="BX16" s="160" t="s">
        <v>480</v>
      </c>
      <c r="BY16" s="160" t="s">
        <v>449</v>
      </c>
      <c r="BZ16" s="160" t="s">
        <v>157</v>
      </c>
      <c r="CA16" s="160" t="s">
        <v>473</v>
      </c>
      <c r="CB16" s="160" t="s">
        <v>474</v>
      </c>
      <c r="CC16" s="160" t="s">
        <v>46</v>
      </c>
      <c r="CD16" s="212" t="s">
        <v>11</v>
      </c>
      <c r="CE16" s="211" t="s">
        <v>472</v>
      </c>
      <c r="CF16" s="160" t="s">
        <v>156</v>
      </c>
      <c r="CG16" s="160" t="s">
        <v>475</v>
      </c>
      <c r="CH16" s="160" t="s">
        <v>476</v>
      </c>
      <c r="CI16" s="160" t="s">
        <v>477</v>
      </c>
      <c r="CJ16" s="160" t="s">
        <v>478</v>
      </c>
      <c r="CK16" s="160" t="s">
        <v>479</v>
      </c>
      <c r="CL16" s="160" t="s">
        <v>480</v>
      </c>
      <c r="CM16" s="160" t="s">
        <v>449</v>
      </c>
      <c r="CN16" s="160" t="s">
        <v>157</v>
      </c>
      <c r="CO16" s="160" t="s">
        <v>473</v>
      </c>
      <c r="CP16" s="160" t="s">
        <v>474</v>
      </c>
      <c r="CQ16" s="160" t="s">
        <v>46</v>
      </c>
      <c r="CR16" s="212" t="s">
        <v>11</v>
      </c>
      <c r="CV16" s="263"/>
      <c r="CW16" s="263"/>
      <c r="CX16" s="264" t="s">
        <v>156</v>
      </c>
      <c r="CY16" s="264" t="s">
        <v>478</v>
      </c>
      <c r="CZ16" s="264" t="s">
        <v>479</v>
      </c>
      <c r="DA16" s="264" t="s">
        <v>157</v>
      </c>
      <c r="DB16" s="264" t="s">
        <v>156</v>
      </c>
      <c r="DC16" s="264" t="s">
        <v>478</v>
      </c>
      <c r="DD16" s="264" t="s">
        <v>479</v>
      </c>
      <c r="DE16" s="264" t="s">
        <v>157</v>
      </c>
      <c r="DF16" s="264" t="s">
        <v>156</v>
      </c>
      <c r="DG16" s="264" t="s">
        <v>478</v>
      </c>
      <c r="DH16" s="264" t="s">
        <v>479</v>
      </c>
      <c r="DI16" s="264" t="s">
        <v>157</v>
      </c>
      <c r="DJ16" s="264" t="s">
        <v>156</v>
      </c>
      <c r="DK16" s="264" t="s">
        <v>478</v>
      </c>
      <c r="DL16" s="264" t="s">
        <v>479</v>
      </c>
      <c r="DM16" s="264" t="s">
        <v>157</v>
      </c>
      <c r="DN16" s="264" t="s">
        <v>156</v>
      </c>
      <c r="DO16" s="264" t="s">
        <v>478</v>
      </c>
      <c r="DP16" s="264" t="s">
        <v>479</v>
      </c>
      <c r="DQ16" s="264" t="s">
        <v>157</v>
      </c>
      <c r="DR16" s="264" t="s">
        <v>156</v>
      </c>
      <c r="DS16" s="264" t="s">
        <v>478</v>
      </c>
      <c r="DT16" s="264" t="s">
        <v>479</v>
      </c>
      <c r="DU16" s="264" t="s">
        <v>157</v>
      </c>
      <c r="DW16" s="278"/>
      <c r="DX16" s="278"/>
      <c r="DY16" s="280" t="s">
        <v>585</v>
      </c>
      <c r="DZ16" s="280" t="s">
        <v>259</v>
      </c>
      <c r="EB16" s="278"/>
      <c r="EC16" s="278"/>
      <c r="ED16" s="280" t="s">
        <v>585</v>
      </c>
      <c r="EE16" s="280" t="s">
        <v>259</v>
      </c>
      <c r="EL16" s="420" t="s">
        <v>564</v>
      </c>
      <c r="EM16" s="420" t="s">
        <v>565</v>
      </c>
      <c r="EN16" s="420" t="s">
        <v>566</v>
      </c>
      <c r="EO16" s="420" t="s">
        <v>562</v>
      </c>
      <c r="EP16" s="421" t="s">
        <v>597</v>
      </c>
      <c r="EQ16" s="421" t="s">
        <v>585</v>
      </c>
      <c r="ER16" s="421" t="s">
        <v>259</v>
      </c>
      <c r="ES16" s="424" t="s">
        <v>867</v>
      </c>
      <c r="EV16" s="306" t="s">
        <v>564</v>
      </c>
      <c r="EW16" s="306" t="s">
        <v>565</v>
      </c>
      <c r="EX16" s="306" t="s">
        <v>566</v>
      </c>
      <c r="EY16" s="306" t="s">
        <v>562</v>
      </c>
      <c r="EZ16" s="307" t="s">
        <v>597</v>
      </c>
      <c r="FA16" s="307" t="s">
        <v>585</v>
      </c>
      <c r="FB16" s="307" t="s">
        <v>259</v>
      </c>
    </row>
    <row r="17" spans="1:158">
      <c r="A17" s="205"/>
      <c r="B17" s="205" t="s">
        <v>744</v>
      </c>
      <c r="C17" s="400">
        <f>$M$7*KTDB_TripDistribution_2040!L$12 * (1+KTDB_발생량도착량_증가율!$C$8*5) * (1+KTDB_발생량도착량_증가율!$D$7*5) * (1+KTDB_발생량도착량_증가율!$E$7*5) * (1+KTDB_발생량도착량_증가율!$F$7*5)</f>
        <v>676.83352271552303</v>
      </c>
      <c r="D17" s="400">
        <f>$M$7*KTDB_TripDistribution_2040!M$12 * (1+KTDB_발생량도착량_증가율!$C$8*5) * (1+KTDB_발생량도착량_증가율!$D$7*5) * (1+KTDB_발생량도착량_증가율!$E$7*5) * (1+KTDB_발생량도착량_증가율!$F$7*5)</f>
        <v>5263.147731164554</v>
      </c>
      <c r="E17" s="400">
        <f>$M$7*KTDB_TripDistribution_2040!N$12 * (1+KTDB_발생량도착량_증가율!$C$8*5) * (1+KTDB_발생량도착량_증가율!$D$7*5) * (1+KTDB_발생량도착량_증가율!$E$7*5) * (1+KTDB_발생량도착량_증가율!$F$7*5)</f>
        <v>233.29088160275623</v>
      </c>
      <c r="F17" s="400">
        <f>$M$7*KTDB_TripDistribution_2040!O$12 * (1+KTDB_발생량도착량_증가율!$C$8*5) * (1+KTDB_발생량도착량_증가율!$D$7*5) * (1+KTDB_발생량도착량_증가율!$E$7*5) * (1+KTDB_발생량도착량_증가율!$F$7*5)</f>
        <v>0.63265323824475928</v>
      </c>
      <c r="G17" s="400">
        <f>$M$7*KTDB_TripDistribution_2040!P$12 * (1+KTDB_발생량도착량_증가율!$C$8*5) * (1+KTDB_발생량도착량_증가율!$D$7*5) * (1+KTDB_발생량도착량_증가율!$E$7*5) * (1+KTDB_발생량도착량_증가율!$F$7*5)</f>
        <v>1.7925175083601659</v>
      </c>
      <c r="H17" s="400">
        <f>$M$7*KTDB_TripDistribution_2040!Q$12 * (1+KTDB_발생량도착량_증가율!$C$8*5) * (1+KTDB_발생량도착량_증가율!$D$7*5) * (1+KTDB_발생량도착량_증가율!$E$7*5) * (1+KTDB_발생량도착량_증가율!$F$7*5)</f>
        <v>6175.6973062294373</v>
      </c>
      <c r="J17" s="230">
        <f t="shared" ref="J17" si="0">CR17</f>
        <v>6175.6973062294383</v>
      </c>
      <c r="K17" s="206"/>
      <c r="L17" s="206" t="s">
        <v>743</v>
      </c>
      <c r="M17" s="206">
        <f>INDEX($A$16:$H$17,MATCH($L17,$B$16:$B$17,0),MATCH($M$15,$A$16:$H$16,0))*고양시_Modal_split!C$3 * 0.01</f>
        <v>1.8951338636034643</v>
      </c>
      <c r="N17" s="206">
        <f>INDEX($A$16:$H$17,MATCH($L17,$B$16:$B$17,0),MATCH($M$15,$A$16:$H$16,0))*고양시_Modal_split!D$3 * 0.01</f>
        <v>318.31480573311046</v>
      </c>
      <c r="O17" s="206">
        <f>INDEX($A$16:$H$17,MATCH($L17,$B$16:$B$17,0),MATCH($M$15,$A$16:$H$16,0))*고양시_Modal_split!E$3 * 0.01</f>
        <v>38.511827442513258</v>
      </c>
      <c r="P17" s="206">
        <f>INDEX($A$16:$H$17,MATCH($L17,$B$16:$B$17,0),MATCH($M$15,$A$16:$H$16,0))*고양시_Modal_split!F$3 * 0.01</f>
        <v>62.06563403301346</v>
      </c>
      <c r="Q17" s="206">
        <f>INDEX($A$16:$H$17,MATCH($L17,$B$16:$B$17,0),MATCH($M$15,$A$16:$H$16,0))*고양시_Modal_split!G$3 * 0.01</f>
        <v>6.2268684089828117</v>
      </c>
      <c r="R17" s="206">
        <f>INDEX($A$16:$H$17,MATCH($L17,$B$16:$B$17,0),MATCH($M$15,$A$16:$H$16,0))*고양시_Modal_split!H$3 * 0.01</f>
        <v>6.7683352271552297E-2</v>
      </c>
      <c r="S17" s="206">
        <f>INDEX($A$16:$H$17,MATCH($L17,$B$16:$B$17,0),MATCH($M$15,$A$16:$H$16,0))*고양시_Modal_split!I$3 * 0.01</f>
        <v>18.815971931491539</v>
      </c>
      <c r="T17" s="206">
        <f>INDEX($A$16:$H$17,MATCH($L17,$B$16:$B$17,0),MATCH($M$15,$A$16:$H$16,0))*고양시_Modal_split!J$3 * 0.01</f>
        <v>206.02812431460524</v>
      </c>
      <c r="U17" s="206">
        <f>INDEX($A$16:$H$17,MATCH($L17,$B$16:$B$17,0),MATCH($M$15,$A$16:$H$16,0))*고양시_Modal_split!K$3 * 0.01</f>
        <v>1.0152502840732844</v>
      </c>
      <c r="V17" s="206">
        <f>INDEX($A$16:$H$17,MATCH($L17,$B$16:$B$17,0),MATCH($M$15,$A$16:$H$16,0))*고양시_Modal_split!L$3 * 0.01</f>
        <v>20.440372386008796</v>
      </c>
      <c r="W17" s="206">
        <f>INDEX($A$16:$H$17,MATCH($L17,$B$16:$B$17,0),MATCH($M$15,$A$16:$H$16,0))*고양시_Modal_split!M$3 * 0.01</f>
        <v>1.5567171022457029</v>
      </c>
      <c r="X17" s="206">
        <f>INDEX($A$16:$H$17,MATCH($L17,$B$16:$B$17,0),MATCH($M$15,$A$16:$H$16,0))*고양시_Modal_split!N$3 * 0.01</f>
        <v>0.67683352271552311</v>
      </c>
      <c r="Y17" s="206">
        <f>INDEX($A$16:$H$17,MATCH($L17,$B$16:$B$17,0),MATCH($M$15,$A$16:$H$16,0))*고양시_Modal_split!O$3 * 0.01</f>
        <v>1.2183003408879414</v>
      </c>
      <c r="Z17" s="209">
        <f>INDEX($A$16:$H$17,MATCH($L17,$B$16:$B$17,0),MATCH($M$15,$A$16:$H$16,0))*고양시_Modal_split!P$3 * 0.01</f>
        <v>676.83352271552303</v>
      </c>
      <c r="AA17" s="206">
        <f>INDEX($A$16:$H$17,MATCH($L17,$B$16:$B$17,0),MATCH($AA$15,$A$16:$H$16,0))*고양시_Modal_split!C$3 * 0.01</f>
        <v>14.73681364726075</v>
      </c>
      <c r="AB17" s="207">
        <f>INDEX($A$16:$H$17,MATCH($L17,$B$16:$B$17,0),MATCH($AA$15,$A$16:$H$16,0))*고양시_Modal_split!D$3 * 0.01</f>
        <v>2475.2583779666897</v>
      </c>
      <c r="AC17" s="207">
        <f>INDEX($A$16:$H$17,MATCH($L17,$B$16:$B$17,0),MATCH($AA$15,$A$16:$H$16,0))*고양시_Modal_split!E$3 * 0.01</f>
        <v>299.4731059032631</v>
      </c>
      <c r="AD17" s="207">
        <f>INDEX($A$16:$H$17,MATCH($L17,$B$16:$B$17,0),MATCH($AA$15,$A$16:$H$16,0))*고양시_Modal_split!F$3 * 0.01</f>
        <v>482.63064694778956</v>
      </c>
      <c r="AE17" s="207">
        <f>INDEX($A$16:$H$17,MATCH($L17,$B$16:$B$17,0),MATCH($AA$15,$A$16:$H$16,0))*고양시_Modal_split!G$3 * 0.01</f>
        <v>48.420959126713896</v>
      </c>
      <c r="AF17" s="207">
        <f>INDEX($A$16:$H$17,MATCH($L17,$B$16:$B$17,0),MATCH($AA$15,$A$16:$H$16,0))*고양시_Modal_split!H$3 * 0.01</f>
        <v>0.52631477311645536</v>
      </c>
      <c r="AG17" s="207">
        <f>INDEX($A$16:$H$17,MATCH($L17,$B$16:$B$17,0),MATCH($AA$15,$A$16:$H$16,0))*고양시_Modal_split!I$3 * 0.01</f>
        <v>146.31550692637458</v>
      </c>
      <c r="AH17" s="207">
        <f>INDEX($A$16:$H$17,MATCH($L17,$B$16:$B$17,0),MATCH($AA$15,$A$16:$H$16,0))*고양시_Modal_split!J$3 * 0.01</f>
        <v>1602.1021693664902</v>
      </c>
      <c r="AI17" s="207">
        <f>INDEX($A$16:$H$17,MATCH($L17,$B$16:$B$17,0),MATCH($AA$15,$A$16:$H$16,0))*고양시_Modal_split!K$3 * 0.01</f>
        <v>7.8947215967468312</v>
      </c>
      <c r="AJ17" s="207">
        <f>INDEX($A$16:$H$17,MATCH($L17,$B$16:$B$17,0),MATCH($AA$15,$A$16:$H$16,0))*고양시_Modal_split!L$3 * 0.01</f>
        <v>158.94706148116953</v>
      </c>
      <c r="AK17" s="207">
        <f>INDEX($A$16:$H$17,MATCH($L17,$B$16:$B$17,0),MATCH($AA$15,$A$16:$H$16,0))*고양시_Modal_split!M$3 * 0.01</f>
        <v>12.105239781678474</v>
      </c>
      <c r="AL17" s="207">
        <f>INDEX($A$16:$H$17,MATCH($L17,$B$16:$B$17,0),MATCH($AA$15,$A$16:$H$16,0))*고양시_Modal_split!N$3 * 0.01</f>
        <v>5.2631477311645538</v>
      </c>
      <c r="AM17" s="207">
        <f>INDEX($A$16:$H$17,MATCH($L17,$B$16:$B$17,0),MATCH($AA$15,$A$16:$H$16,0))*고양시_Modal_split!O$3 * 0.01</f>
        <v>9.4736659160961967</v>
      </c>
      <c r="AN17" s="207">
        <f>INDEX($A$16:$H$17,MATCH($L17,$B$16:$B$17,0),MATCH($AA$15,$A$16:$H$16,0))*고양시_Modal_split!P$3 * 0.01</f>
        <v>5263.147731164554</v>
      </c>
      <c r="AO17" s="206">
        <f>INDEX($A$16:$H$17,MATCH($L17,$B$16:$B$17,0),MATCH($AO$15,$A$16:$H$16,0))*고양시_Modal_split!C$3 * 0.01</f>
        <v>0.65321446848771747</v>
      </c>
      <c r="AP17" s="303">
        <f>INDEX($A$16:$H$17,MATCH($L17,$B$16:$B$17,0),MATCH($AO$15,$A$16:$H$16,0))*고양시_Modal_split!D$3 * 0.01</f>
        <v>109.71670161777625</v>
      </c>
      <c r="AQ17" s="303">
        <f>INDEX($A$16:$H$17,MATCH($L17,$B$16:$B$17,0),MATCH($AO$15,$A$16:$H$16,0))*고양시_Modal_split!E$3 * 0.01</f>
        <v>13.274251163196828</v>
      </c>
      <c r="AR17" s="303">
        <f>INDEX($A$16:$H$17,MATCH($L17,$B$16:$B$17,0),MATCH($AO$15,$A$16:$H$16,0))*고양시_Modal_split!F$3 * 0.01</f>
        <v>21.392773842972748</v>
      </c>
      <c r="AS17" s="303">
        <f>INDEX($A$16:$H$17,MATCH($L17,$B$16:$B$17,0),MATCH($AO$15,$A$16:$H$16,0))*고양시_Modal_split!G$3 * 0.01</f>
        <v>2.1462761107453572</v>
      </c>
      <c r="AT17" s="303">
        <f>INDEX($A$16:$H$17,MATCH($L17,$B$16:$B$17,0),MATCH($AO$15,$A$16:$H$16,0))*고양시_Modal_split!H$3 * 0.01</f>
        <v>2.3329088160275624E-2</v>
      </c>
      <c r="AU17" s="303">
        <f>INDEX($A$16:$H$17,MATCH($L17,$B$16:$B$17,0),MATCH($AO$15,$A$16:$H$16,0))*고양시_Modal_split!I$3 * 0.01</f>
        <v>6.4854865085566225</v>
      </c>
      <c r="AV17" s="303">
        <f>INDEX($A$16:$H$17,MATCH($L17,$B$16:$B$17,0),MATCH($AO$15,$A$16:$H$16,0))*고양시_Modal_split!J$3 * 0.01</f>
        <v>71.013744359878999</v>
      </c>
      <c r="AW17" s="303">
        <f>INDEX($A$16:$H$17,MATCH($L17,$B$16:$B$17,0),MATCH($AO$15,$A$16:$H$16,0))*고양시_Modal_split!K$3 * 0.01</f>
        <v>0.34993632240413436</v>
      </c>
      <c r="AX17" s="303">
        <f>INDEX($A$16:$H$17,MATCH($L17,$B$16:$B$17,0),MATCH($AO$15,$A$16:$H$16,0))*고양시_Modal_split!L$3 * 0.01</f>
        <v>7.0453846244032379</v>
      </c>
      <c r="AY17" s="303">
        <f>INDEX($A$16:$H$17,MATCH($L17,$B$16:$B$17,0),MATCH($AO$15,$A$16:$H$16,0))*고양시_Modal_split!M$3 * 0.01</f>
        <v>0.53656902768633929</v>
      </c>
      <c r="AZ17" s="303">
        <f>INDEX($A$16:$H$17,MATCH($L17,$B$16:$B$17,0),MATCH($AO$15,$A$16:$H$16,0))*고양시_Modal_split!N$3 * 0.01</f>
        <v>0.23329088160275624</v>
      </c>
      <c r="BA17" s="207">
        <f>INDEX($A$16:$H$17,MATCH($L17,$B$16:$B$17,0),MATCH($AO$15,$A$16:$H$16,0))*고양시_Modal_split!O$3 * 0.01</f>
        <v>0.41992358688496118</v>
      </c>
      <c r="BB17" s="207">
        <f>INDEX($A$16:$H$17,MATCH($L17,$B$16:$B$17,0),MATCH($AO$15,$A$16:$H$16,0))*고양시_Modal_split!P$3 * 0.01</f>
        <v>233.29088160275623</v>
      </c>
      <c r="BC17" s="207">
        <f>INDEX($A$16:$H$17,MATCH($L17,$B$16:$B$17,0),MATCH($BC$15,$A$16:$H$16,0))*고양시_Modal_split!C$3 * 0.01</f>
        <v>1.7714290670853259E-3</v>
      </c>
      <c r="BD17" s="207">
        <f>INDEX($A$16:$H$17,MATCH($L17,$B$16:$B$17,0),MATCH($BC$15,$A$16:$H$16,0))*고양시_Modal_split!D$3 * 0.01</f>
        <v>0.29753681794651032</v>
      </c>
      <c r="BE17" s="207">
        <f>INDEX($A$16:$H$17,MATCH($L17,$B$16:$B$17,0),MATCH($BC$15,$A$16:$H$16,0))*고양시_Modal_split!E$3 * 0.01</f>
        <v>3.5997969256126798E-2</v>
      </c>
      <c r="BF17" s="207">
        <f>INDEX($A$16:$H$17,MATCH($L17,$B$16:$B$17,0),MATCH($BC$15,$A$16:$H$16,0))*고양시_Modal_split!F$3 * 0.01</f>
        <v>5.8014301947044426E-2</v>
      </c>
      <c r="BG17" s="207">
        <f>INDEX($A$16:$H$17,MATCH($L17,$B$16:$B$17,0),MATCH($BC$15,$A$16:$H$16,0))*고양시_Modal_split!G$3 * 0.01</f>
        <v>5.820409791851785E-3</v>
      </c>
      <c r="BH17" s="207">
        <f>INDEX($A$16:$H$17,MATCH($L17,$B$16:$B$17,0),MATCH($BC$15,$A$16:$H$16,0))*고양시_Modal_split!H$3 * 0.01</f>
        <v>6.3265323824475926E-5</v>
      </c>
      <c r="BI17" s="207">
        <f>INDEX($A$16:$H$17,MATCH($L17,$B$16:$B$17,0),MATCH($BC$15,$A$16:$H$16,0))*고양시_Modal_split!I$3 * 0.01</f>
        <v>1.7587760023204307E-2</v>
      </c>
      <c r="BJ17" s="207">
        <f>INDEX($A$16:$H$17,MATCH($L17,$B$16:$B$17,0),MATCH($BC$15,$A$16:$H$16,0))*고양시_Modal_split!J$3 * 0.01</f>
        <v>0.19257964572170472</v>
      </c>
      <c r="BK17" s="207">
        <f>INDEX($A$16:$H$17,MATCH($L17,$B$16:$B$17,0),MATCH($BC$15,$A$16:$H$16,0))*고양시_Modal_split!K$3 * 0.01</f>
        <v>9.4897985736713895E-4</v>
      </c>
      <c r="BL17" s="207">
        <f>INDEX($A$16:$H$17,MATCH($L17,$B$16:$B$17,0),MATCH($BC$15,$A$16:$H$16,0))*고양시_Modal_split!L$3 * 0.01</f>
        <v>1.9106127794991729E-2</v>
      </c>
      <c r="BM17" s="207">
        <f>INDEX($A$16:$H$17,MATCH($L17,$B$16:$B$17,0),MATCH($BC$15,$A$16:$H$16,0))*고양시_Modal_split!M$3 * 0.01</f>
        <v>1.4551024479629463E-3</v>
      </c>
      <c r="BN17" s="207">
        <f>INDEX($A$16:$H$17,MATCH($L17,$B$16:$B$17,0),MATCH($BC$15,$A$16:$H$16,0))*고양시_Modal_split!N$3 * 0.01</f>
        <v>6.3265323824475926E-4</v>
      </c>
      <c r="BO17" s="207">
        <f>INDEX($A$16:$H$17,MATCH($L17,$B$16:$B$17,0),MATCH($BC$15,$A$16:$H$16,0))*고양시_Modal_split!O$3 * 0.01</f>
        <v>1.1387758288405668E-3</v>
      </c>
      <c r="BP17" s="207">
        <f>INDEX($A$16:$H$17,MATCH($L17,$B$16:$B$17,0),MATCH($BC$15,$A$16:$H$16,0))*고양시_Modal_split!P$3 * 0.01</f>
        <v>0.63265323824475928</v>
      </c>
      <c r="BQ17" s="207">
        <f>INDEX($A$16:$H$17,MATCH($L17,$B$16:$B$17,0),MATCH($BQ$15,$A$16:$H$16,0))*고양시_Modal_split!C$3 * 0.01</f>
        <v>5.0190490234084638E-3</v>
      </c>
      <c r="BR17" s="207">
        <f>INDEX($A$16:$H$17,MATCH($L17,$B$16:$B$17,0),MATCH($BQ$15,$A$16:$H$16,0))*고양시_Modal_split!D$3 * 0.01</f>
        <v>0.84302098418178606</v>
      </c>
      <c r="BS17" s="207">
        <f>INDEX($A$16:$H$17,MATCH($L17,$B$16:$B$17,0),MATCH($BQ$15,$A$16:$H$16,0))*고양시_Modal_split!E$3 * 0.01</f>
        <v>0.10199424622569342</v>
      </c>
      <c r="BT17" s="207">
        <f>INDEX($A$16:$H$17,MATCH($L17,$B$16:$B$17,0),MATCH($BQ$15,$A$16:$H$16,0))*고양시_Modal_split!F$3 * 0.01</f>
        <v>0.16437385551662723</v>
      </c>
      <c r="BU17" s="207">
        <f>INDEX($A$16:$H$17,MATCH($L17,$B$16:$B$17,0),MATCH($BQ$15,$A$16:$H$16,0))*고양시_Modal_split!G$3 * 0.01</f>
        <v>1.6491161076913525E-2</v>
      </c>
      <c r="BV17" s="207">
        <f>INDEX($A$16:$H$17,MATCH($L17,$B$16:$B$17,0),MATCH($BQ$15,$A$16:$H$16,0))*고양시_Modal_split!H$3 * 0.01</f>
        <v>1.7925175083601658E-4</v>
      </c>
      <c r="BW17" s="207">
        <f>INDEX($A$16:$H$17,MATCH($L17,$B$16:$B$17,0),MATCH($BQ$15,$A$16:$H$16,0))*고양시_Modal_split!I$3 * 0.01</f>
        <v>4.9831986732412611E-2</v>
      </c>
      <c r="BX17" s="207">
        <f>INDEX($A$16:$H$17,MATCH($L17,$B$16:$B$17,0),MATCH($BQ$15,$A$16:$H$16,0))*고양시_Modal_split!J$3 * 0.01</f>
        <v>0.54564232954483449</v>
      </c>
      <c r="BY17" s="207">
        <f>INDEX($A$16:$H$17,MATCH($L17,$B$16:$B$17,0),MATCH($BQ$15,$A$16:$H$16,0))*고양시_Modal_split!K$3 * 0.01</f>
        <v>2.688776262540249E-3</v>
      </c>
      <c r="BZ17" s="207">
        <f>INDEX($A$16:$H$17,MATCH($L17,$B$16:$B$17,0),MATCH($BQ$15,$A$16:$H$16,0))*고양시_Modal_split!L$3 * 0.01</f>
        <v>5.4134028752477005E-2</v>
      </c>
      <c r="CA17" s="207">
        <f>INDEX($A$16:$H$17,MATCH($L17,$B$16:$B$17,0),MATCH($BQ$15,$A$16:$H$16,0))*고양시_Modal_split!M$3 * 0.01</f>
        <v>4.1227902692283812E-3</v>
      </c>
      <c r="CB17" s="207">
        <f>INDEX($A$16:$H$17,MATCH($L17,$B$16:$B$17,0),MATCH($BQ$15,$A$16:$H$16,0))*고양시_Modal_split!N$3 * 0.01</f>
        <v>1.792517508360166E-3</v>
      </c>
      <c r="CC17" s="207">
        <f>INDEX($A$16:$H$17,MATCH($L17,$B$16:$B$17,0),MATCH($BQ$15,$A$16:$H$16,0))*고양시_Modal_split!O$3 * 0.01</f>
        <v>3.2265315150482986E-3</v>
      </c>
      <c r="CD17" s="207">
        <f>INDEX($A$16:$H$17,MATCH($L17,$B$16:$B$17,0),MATCH($BQ$15,$A$16:$H$16,0))*고양시_Modal_split!P$3 * 0.01</f>
        <v>1.7925175083601659</v>
      </c>
      <c r="CE17" s="304">
        <f>M17+AA17+AO17+BC17+BQ17</f>
        <v>17.291952457442427</v>
      </c>
      <c r="CF17" s="304">
        <f t="shared" ref="CF17:CR17" si="1">N17+AB17+AP17+BD17+BR17</f>
        <v>2904.4304431197047</v>
      </c>
      <c r="CG17" s="304">
        <f t="shared" si="1"/>
        <v>351.39717672445499</v>
      </c>
      <c r="CH17" s="304">
        <f t="shared" si="1"/>
        <v>566.31144298123945</v>
      </c>
      <c r="CI17" s="304">
        <f t="shared" si="1"/>
        <v>56.816415217310826</v>
      </c>
      <c r="CJ17" s="304">
        <f t="shared" si="1"/>
        <v>0.61756973062294374</v>
      </c>
      <c r="CK17" s="304">
        <f t="shared" si="1"/>
        <v>171.68438511317837</v>
      </c>
      <c r="CL17" s="304">
        <f t="shared" si="1"/>
        <v>1879.8822600162409</v>
      </c>
      <c r="CM17" s="304">
        <f t="shared" si="1"/>
        <v>9.2635459593441585</v>
      </c>
      <c r="CN17" s="304">
        <f t="shared" si="1"/>
        <v>186.50605864812903</v>
      </c>
      <c r="CO17" s="304">
        <f t="shared" si="1"/>
        <v>14.204103804327707</v>
      </c>
      <c r="CP17" s="304">
        <f t="shared" si="1"/>
        <v>6.1756973062294378</v>
      </c>
      <c r="CQ17" s="304">
        <f t="shared" si="1"/>
        <v>11.116255151212988</v>
      </c>
      <c r="CR17" s="304">
        <f t="shared" si="1"/>
        <v>6175.6973062294383</v>
      </c>
      <c r="CS17" s="305">
        <f>H17-CR17</f>
        <v>0</v>
      </c>
      <c r="CV17" s="265"/>
      <c r="CW17" s="265" t="s">
        <v>743</v>
      </c>
      <c r="CX17" s="267">
        <f>INDEX($M$15:$Z$17,MATCH($CW17,$L$15:$L$17,0),MATCH(CX$16,$M$16:$Z$16,0))/INDEX(고양시_재차인원!$D$4:$H$35,MATCH("고양시",고양시_재차인원!$B$4:$B$35,0),MATCH($CX$15,고양시_재차인원!$D$4:$H$4,0))</f>
        <v>284.20964797599146</v>
      </c>
      <c r="CY17" s="267">
        <f>INDEX($M$15:$Z$17,MATCH($CW17,$L$15:$L$17,0),MATCH(CY$16,$M$16:$Z$16,0))/INDEX(고양시_재차인원!$K$4:$O$20,MATCH("경기도",고양시_재차인원!$K$4:$K$20,0),MATCH(CY$16,고양시_재차인원!$K$4:$O$4,0))</f>
        <v>2.3509326943922299E-3</v>
      </c>
      <c r="CZ17" s="267">
        <f>INDEX($M$15:$Z$17,MATCH($CW17,$L$15:$L$17,0),MATCH(CZ$16,$M$16:$Z$16,0))/INDEX(고양시_재차인원!$K$4:$O$20,MATCH("경기도",고양시_재차인원!$K$4:$K$20,0),MATCH(CZ$16,고양시_재차인원!$K$4:$O$4,0))</f>
        <v>0.65355928904103999</v>
      </c>
      <c r="DA17" s="267">
        <f>INDEX($M$15:$Z$17,MATCH($CW17,$L$15:$L$17,0),MATCH(DA$16,$M$16:$Z$16,0))/INDEX(고양시_재차인원!$D$4:$H$35,MATCH("고양시",고양시_재차인원!$B$4:$B$35,0),MATCH($CX$15,고양시_재차인원!$D$4:$H$4,0))</f>
        <v>18.250332487507851</v>
      </c>
      <c r="DB17" s="267">
        <f>INDEX($AA$15:$AN$17,MATCH($CW17,$L$15:$L$17,0),MATCH(DB$16,$AA$16:$AN$16,0))/INDEX(고양시_재차인원!$D$4:$H$35,MATCH("고양시",고양시_재차인원!$B$4:$B$35,0),MATCH($DB$15,고양시_재차인원!$D$4:$H$4,0))</f>
        <v>1755.5023957210567</v>
      </c>
      <c r="DC17" s="267">
        <f>INDEX($AA$15:$AN$17,MATCH($CW17,$L$15:$L$17,0),MATCH(DC$16,$AA$16:$AN$16,0))/INDEX(고양시_재차인원!$K$4:$O$20,MATCH("경기도",고양시_재차인원!$K$4:$K$20,0),MATCH(DC$16,고양시_재차인원!$K$4:$O$4,0))</f>
        <v>1.8281166138119326E-2</v>
      </c>
      <c r="DD17" s="267">
        <f>INDEX($AA$15:$AN$17,MATCH($CW17,$L$15:$L$17,0),MATCH(DD$16,$AA$16:$AN$16,0))/INDEX(고양시_재차인원!$K$4:$O$20,MATCH("경기도",고양시_재차인원!$K$4:$K$20,0),MATCH(DD$16,고양시_재차인원!$K$4:$O$4,0))</f>
        <v>5.082164186397172</v>
      </c>
      <c r="DE17" s="267">
        <f>INDEX($AA$15:$AN$17,MATCH($CW17,$L$15:$L$17,0),MATCH(DE$16,$AA$16:$AN$16,0))/INDEX(고양시_재차인원!$D$4:$H$35,MATCH("고양시",고양시_재차인원!$B$4:$B$35,0),MATCH($DB$15,고양시_재차인원!$D$4:$H$4,0))</f>
        <v>112.72841239799259</v>
      </c>
      <c r="DF17" s="267">
        <f>INDEX($AO$15:$BB$17,MATCH($CW17,$L$15:$L$17,0),MATCH(DF$16,$AO$16:$BB$16,0))/INDEX(고양시_재차인원!$D$4:$H$35,MATCH("고양시",고양시_재차인원!$B$4:$B$35,0),MATCH($DF$15,고양시_재차인원!$D$4:$H$4,0))</f>
        <v>84.39746278290481</v>
      </c>
      <c r="DG17" s="267">
        <f>INDEX($AO$15:$BB$17,MATCH($CW17,$L$15:$L$17,0),MATCH(DG$16,$AO$16:$BB$16,0))/INDEX(고양시_재차인원!$K$4:$O$20,MATCH("경기도",고양시_재차인원!$K$4:$K$20,0),MATCH(DG$16,고양시_재차인원!$K$4:$O$4,0))</f>
        <v>8.1031914415684693E-4</v>
      </c>
      <c r="DH17" s="267">
        <f>INDEX($AO$15:$BB$17,MATCH($CW17,$L$15:$L$17,0),MATCH(DH$16,$AO$16:$BB$16,0))/INDEX(고양시_재차인원!$K$4:$O$20,MATCH("경기도",고양시_재차인원!$K$4:$K$20,0),MATCH(DH$16,고양시_재차인원!$K$4:$O$4,0))</f>
        <v>0.22526872207560342</v>
      </c>
      <c r="DI17" s="267">
        <f>INDEX($AO$15:$BB$17,MATCH($CW17,$L$15:$L$17,0),MATCH(DI$16,$AO$16:$BB$16,0))/INDEX(고양시_재차인원!$D$4:$H$35,MATCH("고양시",고양시_재차인원!$B$4:$B$35,0),MATCH($DF$15,고양시_재차인원!$D$4:$H$4,0))</f>
        <v>5.4195266341563366</v>
      </c>
      <c r="DJ17" s="267">
        <f>INDEX($BC$15:$BP$17,MATCH($CW17,$L$15:$L$17,0),MATCH(DJ$16,$BC$16:$BP$16,0))/INDEX(고양시_재차인원!$D$4:$H$35,MATCH("고양시",고양시_재차인원!$B$4:$B$35,0),MATCH($DJ$15,고양시_재차인원!$D$4:$H$4,0))</f>
        <v>0.21877707201949287</v>
      </c>
      <c r="DK17" s="267">
        <f>INDEX($BC$15:$BP$17,MATCH($CW17,$L$15:$L$17,0),MATCH(DK$16,$BC$16:$BP$16,0))/INDEX(고양시_재차인원!$K$4:$O$20,MATCH("경기도",고양시_재차인원!$K$4:$K$20,0),MATCH(DK$16,고양시_재차인원!$K$4:$O$4,0))</f>
        <v>2.1974756451710987E-6</v>
      </c>
      <c r="DL17" s="267">
        <f>INDEX($BC$15:$BP$17,MATCH($CW17,$L$15:$L$17,0),MATCH(DL$16,$BC$16:$BP$16,0))/INDEX(고양시_재차인원!$K$4:$O$20,MATCH("경기도",고양시_재차인원!$K$4:$K$20,0),MATCH(DL$16,고양시_재차인원!$K$4:$O$4,0))</f>
        <v>6.108982293575654E-4</v>
      </c>
      <c r="DM17" s="267">
        <f>INDEX($BC$15:$BP$17,MATCH($CW17,$L$15:$L$17,0),MATCH(DM$16,$BC$16:$BP$16,0))/INDEX(고양시_재차인원!$D$4:$H$35,MATCH("고양시",고양시_재차인원!$B$4:$B$35,0),MATCH($DJ$15,고양시_재차인원!$D$4:$H$4,0))</f>
        <v>1.4048623378670388E-2</v>
      </c>
      <c r="DN17" s="267">
        <f>INDEX($BQ$15:$CD$17,MATCH($CW17,$L$15:$L$17,0),MATCH(DN$16,$BQ$16:$CD$16,0))/INDEX(고양시_재차인원!$D$4:$H$35,MATCH("고양시",고양시_재차인원!$B$4:$B$35,0),MATCH($DN$15,고양시_재차인원!$D$4:$H$4,0))</f>
        <v>0.66906427316014772</v>
      </c>
      <c r="DO17" s="267">
        <f>INDEX($BQ$15:$CD$17,MATCH($CW17,$L$15:$L$17,0),MATCH(DO$16,$BQ$16:$CD$16,0))/INDEX(고양시_재차인원!$K$4:$O$20,MATCH("경기도",고양시_재차인원!$K$4:$K$20,0),MATCH(DO$16,고양시_재차인원!$K$4:$O$4,0))</f>
        <v>6.2261809946514963E-6</v>
      </c>
      <c r="DP17" s="267">
        <f>INDEX($BQ$15:$CD$17,MATCH($CW17,$L$15:$L$17,0),MATCH(DP$16,$BQ$16:$CD$16,0))/INDEX(고양시_재차인원!$K$4:$O$20,MATCH("경기도",고양시_재차인원!$K$4:$K$20,0),MATCH(DP$16,고양시_재차인원!$K$4:$O$4,0))</f>
        <v>1.7308783165131162E-3</v>
      </c>
      <c r="DQ17" s="267">
        <f>INDEX($BQ$15:$CD$17,MATCH($CW17,$L$15:$L$17,0),MATCH(DQ$16,$BQ$16:$CD$16,0))/INDEX(고양시_재차인원!$D$4:$H$35,MATCH("고양시",고양시_재차인원!$B$4:$B$35,0),MATCH($DN$15,고양시_재차인원!$D$4:$H$4,0))</f>
        <v>4.2963514882918261E-2</v>
      </c>
      <c r="DR17" s="270">
        <f>CX17+DB17+DF17+DJ17+DN17</f>
        <v>2124.9973478251322</v>
      </c>
      <c r="DS17" s="270">
        <f t="shared" ref="DS17:DU17" si="2">CY17+DC17+DG17+DK17+DO17</f>
        <v>2.1450841633308227E-2</v>
      </c>
      <c r="DT17" s="270">
        <f t="shared" si="2"/>
        <v>5.9633339740596858</v>
      </c>
      <c r="DU17" s="270">
        <f t="shared" si="2"/>
        <v>136.45528365791839</v>
      </c>
      <c r="DW17" s="278"/>
      <c r="DX17" s="278" t="s">
        <v>743</v>
      </c>
      <c r="DY17" s="281">
        <f>DR17+DU17</f>
        <v>2261.4526314830505</v>
      </c>
      <c r="DZ17" s="281">
        <f>DS17+DT17</f>
        <v>5.9847848156929944</v>
      </c>
      <c r="EB17" s="278"/>
      <c r="EC17" s="278" t="s">
        <v>743</v>
      </c>
      <c r="ED17" s="281">
        <f>DY17</f>
        <v>2261.4526314830505</v>
      </c>
      <c r="EE17" s="281">
        <f t="shared" ref="EE17" si="3">DZ17</f>
        <v>5.9847848156929944</v>
      </c>
      <c r="EL17" s="420" t="s">
        <v>728</v>
      </c>
      <c r="EM17" s="420"/>
      <c r="EN17" s="420"/>
      <c r="EO17" s="420"/>
      <c r="EP17" s="421">
        <v>849301</v>
      </c>
      <c r="EQ17" s="422">
        <f>ED24</f>
        <v>2261.4526314830505</v>
      </c>
      <c r="ER17" s="422">
        <f>EE24</f>
        <v>5.9847848156929944</v>
      </c>
      <c r="ES17">
        <v>0</v>
      </c>
      <c r="EV17" s="306" t="s">
        <v>728</v>
      </c>
      <c r="EW17" s="306"/>
      <c r="EX17" s="306"/>
      <c r="EY17" s="306"/>
      <c r="EZ17" s="307">
        <v>849301</v>
      </c>
      <c r="FA17" s="308">
        <f>EQ17*$EU$10</f>
        <v>2261.4526314830505</v>
      </c>
      <c r="FB17" s="308">
        <f t="shared" ref="FB17" si="4">ER17*$EU$10</f>
        <v>5.9847848156929944</v>
      </c>
    </row>
    <row r="18" spans="1:158">
      <c r="A18" s="205"/>
      <c r="B18" s="205"/>
      <c r="C18" s="201"/>
      <c r="D18" s="201"/>
      <c r="E18" s="201"/>
      <c r="F18" s="201"/>
      <c r="G18" s="201"/>
      <c r="H18" s="201"/>
      <c r="J18" s="230"/>
      <c r="K18" s="206"/>
      <c r="L18" s="206"/>
      <c r="M18" s="206"/>
      <c r="N18" s="206"/>
      <c r="O18" s="206"/>
      <c r="P18" s="206"/>
      <c r="Q18" s="206"/>
      <c r="R18" s="206"/>
      <c r="S18" s="206"/>
      <c r="T18" s="206"/>
      <c r="U18" s="206"/>
      <c r="V18" s="206"/>
      <c r="W18" s="206"/>
      <c r="X18" s="206"/>
      <c r="Y18" s="206"/>
      <c r="Z18" s="209"/>
      <c r="AA18" s="207"/>
      <c r="AB18" s="207"/>
      <c r="AC18" s="207"/>
      <c r="AD18" s="207"/>
      <c r="AE18" s="207"/>
      <c r="AF18" s="207"/>
      <c r="AG18" s="207"/>
      <c r="AH18" s="207"/>
      <c r="AI18" s="207"/>
      <c r="AJ18" s="207"/>
      <c r="AK18" s="207"/>
      <c r="AL18" s="207"/>
      <c r="AM18" s="207"/>
      <c r="AN18" s="207"/>
      <c r="AO18" s="303"/>
      <c r="AP18" s="303"/>
      <c r="AQ18" s="303"/>
      <c r="AR18" s="303"/>
      <c r="AS18" s="303"/>
      <c r="AT18" s="303"/>
      <c r="AU18" s="303"/>
      <c r="AV18" s="303"/>
      <c r="AW18" s="303"/>
      <c r="AX18" s="303"/>
      <c r="AY18" s="303"/>
      <c r="AZ18" s="303"/>
      <c r="BA18" s="207"/>
      <c r="BB18" s="207"/>
      <c r="BC18" s="207"/>
      <c r="BD18" s="207"/>
      <c r="BE18" s="207"/>
      <c r="BF18" s="207"/>
      <c r="BG18" s="207"/>
      <c r="BH18" s="207"/>
      <c r="BI18" s="207"/>
      <c r="BJ18" s="207"/>
      <c r="BK18" s="207"/>
      <c r="BL18" s="207"/>
      <c r="BM18" s="207"/>
      <c r="BN18" s="207"/>
      <c r="BO18" s="207"/>
      <c r="BP18" s="207"/>
      <c r="BQ18" s="207"/>
      <c r="BR18" s="207"/>
      <c r="BS18" s="207"/>
      <c r="BT18" s="207"/>
      <c r="BU18" s="207"/>
      <c r="BV18" s="207"/>
      <c r="BW18" s="207"/>
      <c r="BX18" s="207"/>
      <c r="BY18" s="207"/>
      <c r="BZ18" s="207"/>
      <c r="CA18" s="207"/>
      <c r="CB18" s="207"/>
      <c r="CC18" s="207"/>
      <c r="CD18" s="207"/>
      <c r="CE18" s="304"/>
      <c r="CF18" s="304"/>
      <c r="CG18" s="304"/>
      <c r="CH18" s="304"/>
      <c r="CI18" s="304"/>
      <c r="CJ18" s="304"/>
      <c r="CK18" s="304"/>
      <c r="CL18" s="304"/>
      <c r="CM18" s="304"/>
      <c r="CN18" s="304"/>
      <c r="CO18" s="304"/>
      <c r="CP18" s="304"/>
      <c r="CQ18" s="304"/>
      <c r="CR18" s="304"/>
      <c r="CS18" s="305"/>
      <c r="CV18" s="265"/>
      <c r="CW18" s="265"/>
      <c r="CX18" s="267"/>
      <c r="CY18" s="267"/>
      <c r="CZ18" s="267"/>
      <c r="DA18" s="267"/>
      <c r="DB18" s="267"/>
      <c r="DC18" s="267"/>
      <c r="DD18" s="267"/>
      <c r="DE18" s="267"/>
      <c r="DF18" s="267"/>
      <c r="DG18" s="267"/>
      <c r="DH18" s="267"/>
      <c r="DI18" s="267"/>
      <c r="DJ18" s="267"/>
      <c r="DK18" s="267"/>
      <c r="DL18" s="267"/>
      <c r="DM18" s="267"/>
      <c r="DN18" s="267"/>
      <c r="DO18" s="267"/>
      <c r="DP18" s="267"/>
      <c r="DQ18" s="267"/>
      <c r="DR18" s="270"/>
      <c r="DS18" s="270"/>
      <c r="DT18" s="270"/>
      <c r="DU18" s="270"/>
      <c r="DW18" s="278"/>
      <c r="DX18" s="278"/>
      <c r="DY18" s="281"/>
      <c r="DZ18" s="281"/>
      <c r="EB18" s="278"/>
      <c r="EC18" s="278"/>
      <c r="ED18" s="281"/>
      <c r="EE18" s="281"/>
    </row>
    <row r="19" spans="1:158">
      <c r="A19" s="205"/>
      <c r="B19" s="205"/>
      <c r="C19" s="201"/>
      <c r="D19" s="201"/>
      <c r="E19" s="201"/>
      <c r="F19" s="201"/>
      <c r="G19" s="201"/>
      <c r="H19" s="201"/>
      <c r="J19" s="230"/>
      <c r="K19" s="206"/>
      <c r="L19" s="206"/>
      <c r="M19" s="206"/>
      <c r="N19" s="206"/>
      <c r="O19" s="206"/>
      <c r="P19" s="206"/>
      <c r="Q19" s="206"/>
      <c r="R19" s="206"/>
      <c r="S19" s="206"/>
      <c r="T19" s="206"/>
      <c r="U19" s="206"/>
      <c r="V19" s="206"/>
      <c r="W19" s="206"/>
      <c r="X19" s="206"/>
      <c r="Y19" s="206"/>
      <c r="Z19" s="209"/>
      <c r="AA19" s="207"/>
      <c r="AB19" s="207"/>
      <c r="AC19" s="207"/>
      <c r="AD19" s="207"/>
      <c r="AE19" s="207"/>
      <c r="AF19" s="207"/>
      <c r="AG19" s="207"/>
      <c r="AH19" s="207"/>
      <c r="AI19" s="207"/>
      <c r="AJ19" s="207"/>
      <c r="AK19" s="207"/>
      <c r="AL19" s="207"/>
      <c r="AM19" s="207"/>
      <c r="AN19" s="207"/>
      <c r="AO19" s="303"/>
      <c r="AP19" s="303"/>
      <c r="AQ19" s="303"/>
      <c r="AR19" s="303"/>
      <c r="AS19" s="303"/>
      <c r="AT19" s="303"/>
      <c r="AU19" s="303"/>
      <c r="AV19" s="303"/>
      <c r="AW19" s="303"/>
      <c r="AX19" s="303"/>
      <c r="AY19" s="303"/>
      <c r="AZ19" s="303"/>
      <c r="BA19" s="207"/>
      <c r="BB19" s="207"/>
      <c r="BC19" s="207"/>
      <c r="BD19" s="207"/>
      <c r="BE19" s="207"/>
      <c r="BF19" s="207"/>
      <c r="BG19" s="207"/>
      <c r="BH19" s="207"/>
      <c r="BI19" s="207"/>
      <c r="BJ19" s="207"/>
      <c r="BK19" s="207"/>
      <c r="BL19" s="207"/>
      <c r="BM19" s="207"/>
      <c r="BN19" s="207"/>
      <c r="BO19" s="207"/>
      <c r="BP19" s="207"/>
      <c r="BQ19" s="207"/>
      <c r="BR19" s="207"/>
      <c r="BS19" s="207"/>
      <c r="BT19" s="207"/>
      <c r="BU19" s="207"/>
      <c r="BV19" s="207"/>
      <c r="BW19" s="207"/>
      <c r="BX19" s="207"/>
      <c r="BY19" s="207"/>
      <c r="BZ19" s="207"/>
      <c r="CA19" s="207"/>
      <c r="CB19" s="207"/>
      <c r="CC19" s="207"/>
      <c r="CD19" s="207"/>
      <c r="CE19" s="304"/>
      <c r="CF19" s="304"/>
      <c r="CG19" s="304"/>
      <c r="CH19" s="304"/>
      <c r="CI19" s="304"/>
      <c r="CJ19" s="304"/>
      <c r="CK19" s="304"/>
      <c r="CL19" s="304"/>
      <c r="CM19" s="304"/>
      <c r="CN19" s="304"/>
      <c r="CO19" s="304"/>
      <c r="CP19" s="304"/>
      <c r="CQ19" s="304"/>
      <c r="CR19" s="304"/>
      <c r="CS19" s="305"/>
      <c r="CV19" s="265"/>
      <c r="CW19" s="265"/>
      <c r="CX19" s="267"/>
      <c r="CY19" s="267"/>
      <c r="CZ19" s="267"/>
      <c r="DA19" s="267"/>
      <c r="DB19" s="267"/>
      <c r="DC19" s="267"/>
      <c r="DD19" s="267"/>
      <c r="DE19" s="267"/>
      <c r="DF19" s="267"/>
      <c r="DG19" s="267"/>
      <c r="DH19" s="267"/>
      <c r="DI19" s="267"/>
      <c r="DJ19" s="267"/>
      <c r="DK19" s="267"/>
      <c r="DL19" s="267"/>
      <c r="DM19" s="267"/>
      <c r="DN19" s="267"/>
      <c r="DO19" s="267"/>
      <c r="DP19" s="267"/>
      <c r="DQ19" s="267"/>
      <c r="DR19" s="270"/>
      <c r="DS19" s="270"/>
      <c r="DT19" s="270"/>
      <c r="DU19" s="270"/>
      <c r="DW19" s="278"/>
      <c r="DX19" s="278"/>
      <c r="DY19" s="281"/>
      <c r="DZ19" s="281"/>
      <c r="EB19" s="278"/>
      <c r="EC19" s="278"/>
      <c r="ED19" s="281"/>
      <c r="EE19" s="281"/>
    </row>
    <row r="20" spans="1:158">
      <c r="A20" s="205"/>
      <c r="B20" s="205"/>
      <c r="C20" s="201"/>
      <c r="D20" s="201"/>
      <c r="E20" s="201"/>
      <c r="F20" s="201"/>
      <c r="G20" s="201"/>
      <c r="H20" s="201"/>
      <c r="J20" s="230"/>
      <c r="K20" s="206"/>
      <c r="L20" s="206"/>
      <c r="M20" s="206"/>
      <c r="N20" s="206"/>
      <c r="O20" s="206"/>
      <c r="P20" s="206"/>
      <c r="Q20" s="206"/>
      <c r="R20" s="206"/>
      <c r="S20" s="206"/>
      <c r="T20" s="206"/>
      <c r="U20" s="206"/>
      <c r="V20" s="206"/>
      <c r="W20" s="206"/>
      <c r="X20" s="206"/>
      <c r="Y20" s="206"/>
      <c r="Z20" s="209"/>
      <c r="AA20" s="207"/>
      <c r="AB20" s="207"/>
      <c r="AC20" s="207"/>
      <c r="AD20" s="207"/>
      <c r="AE20" s="207"/>
      <c r="AF20" s="207"/>
      <c r="AG20" s="207"/>
      <c r="AH20" s="207"/>
      <c r="AI20" s="207"/>
      <c r="AJ20" s="207"/>
      <c r="AK20" s="207"/>
      <c r="AL20" s="207"/>
      <c r="AM20" s="207"/>
      <c r="AN20" s="207"/>
      <c r="AO20" s="303"/>
      <c r="AP20" s="303"/>
      <c r="AQ20" s="303"/>
      <c r="AR20" s="303"/>
      <c r="AS20" s="303"/>
      <c r="AT20" s="303"/>
      <c r="AU20" s="303"/>
      <c r="AV20" s="303"/>
      <c r="AW20" s="303"/>
      <c r="AX20" s="303"/>
      <c r="AY20" s="303"/>
      <c r="AZ20" s="303"/>
      <c r="BA20" s="207"/>
      <c r="BB20" s="207"/>
      <c r="BC20" s="207"/>
      <c r="BD20" s="207"/>
      <c r="BE20" s="207"/>
      <c r="BF20" s="207"/>
      <c r="BG20" s="207"/>
      <c r="BH20" s="207"/>
      <c r="BI20" s="207"/>
      <c r="BJ20" s="207"/>
      <c r="BK20" s="207"/>
      <c r="BL20" s="207"/>
      <c r="BM20" s="207"/>
      <c r="BN20" s="207"/>
      <c r="BO20" s="207"/>
      <c r="BP20" s="207"/>
      <c r="BQ20" s="207"/>
      <c r="BR20" s="207"/>
      <c r="BS20" s="207"/>
      <c r="BT20" s="207"/>
      <c r="BU20" s="207"/>
      <c r="BV20" s="207"/>
      <c r="BW20" s="207"/>
      <c r="BX20" s="207"/>
      <c r="BY20" s="207"/>
      <c r="BZ20" s="207"/>
      <c r="CA20" s="207"/>
      <c r="CB20" s="207"/>
      <c r="CC20" s="207"/>
      <c r="CD20" s="207"/>
      <c r="CE20" s="304"/>
      <c r="CF20" s="304"/>
      <c r="CG20" s="304"/>
      <c r="CH20" s="304"/>
      <c r="CI20" s="304"/>
      <c r="CJ20" s="304"/>
      <c r="CK20" s="304"/>
      <c r="CL20" s="304"/>
      <c r="CM20" s="304"/>
      <c r="CN20" s="304"/>
      <c r="CO20" s="304"/>
      <c r="CP20" s="304"/>
      <c r="CQ20" s="304"/>
      <c r="CR20" s="304"/>
      <c r="CS20" s="305"/>
      <c r="CV20" s="265"/>
      <c r="CW20" s="265"/>
      <c r="CX20" s="267"/>
      <c r="CY20" s="267"/>
      <c r="CZ20" s="267"/>
      <c r="DA20" s="267"/>
      <c r="DB20" s="267"/>
      <c r="DC20" s="267"/>
      <c r="DD20" s="267"/>
      <c r="DE20" s="267"/>
      <c r="DF20" s="267"/>
      <c r="DG20" s="267"/>
      <c r="DH20" s="267"/>
      <c r="DI20" s="267"/>
      <c r="DJ20" s="267"/>
      <c r="DK20" s="267"/>
      <c r="DL20" s="267"/>
      <c r="DM20" s="267"/>
      <c r="DN20" s="267"/>
      <c r="DO20" s="267"/>
      <c r="DP20" s="267"/>
      <c r="DQ20" s="267"/>
      <c r="DR20" s="270"/>
      <c r="DS20" s="270"/>
      <c r="DT20" s="270"/>
      <c r="DU20" s="270"/>
      <c r="DW20" s="278"/>
      <c r="DX20" s="278"/>
      <c r="DY20" s="281"/>
      <c r="DZ20" s="281"/>
      <c r="EB20" s="278"/>
      <c r="EC20" s="278"/>
      <c r="ED20" s="281"/>
      <c r="EE20" s="281"/>
    </row>
    <row r="21" spans="1:158">
      <c r="A21" s="205"/>
      <c r="B21" s="205"/>
      <c r="C21" s="201"/>
      <c r="D21" s="201"/>
      <c r="E21" s="201"/>
      <c r="F21" s="201"/>
      <c r="G21" s="201"/>
      <c r="H21" s="201"/>
      <c r="J21" s="230"/>
      <c r="K21" s="206"/>
      <c r="L21" s="206"/>
      <c r="M21" s="206"/>
      <c r="N21" s="206"/>
      <c r="O21" s="206"/>
      <c r="P21" s="206"/>
      <c r="Q21" s="206"/>
      <c r="R21" s="206"/>
      <c r="S21" s="206"/>
      <c r="T21" s="206"/>
      <c r="U21" s="206"/>
      <c r="V21" s="206"/>
      <c r="W21" s="206"/>
      <c r="X21" s="206"/>
      <c r="Y21" s="206"/>
      <c r="Z21" s="209"/>
      <c r="AA21" s="207"/>
      <c r="AB21" s="207"/>
      <c r="AC21" s="207"/>
      <c r="AD21" s="207"/>
      <c r="AE21" s="207"/>
      <c r="AF21" s="207"/>
      <c r="AG21" s="207"/>
      <c r="AH21" s="207"/>
      <c r="AI21" s="207"/>
      <c r="AJ21" s="207"/>
      <c r="AK21" s="207"/>
      <c r="AL21" s="207"/>
      <c r="AM21" s="207"/>
      <c r="AN21" s="207"/>
      <c r="AO21" s="303"/>
      <c r="AP21" s="303"/>
      <c r="AQ21" s="303"/>
      <c r="AR21" s="303"/>
      <c r="AS21" s="303"/>
      <c r="AT21" s="303"/>
      <c r="AU21" s="303"/>
      <c r="AV21" s="303"/>
      <c r="AW21" s="303"/>
      <c r="AX21" s="303"/>
      <c r="AY21" s="303"/>
      <c r="AZ21" s="303"/>
      <c r="BA21" s="207"/>
      <c r="BB21" s="207"/>
      <c r="BC21" s="207"/>
      <c r="BD21" s="207"/>
      <c r="BE21" s="207"/>
      <c r="BF21" s="207"/>
      <c r="BG21" s="207"/>
      <c r="BH21" s="207"/>
      <c r="BI21" s="207"/>
      <c r="BJ21" s="207"/>
      <c r="BK21" s="207"/>
      <c r="BL21" s="207"/>
      <c r="BM21" s="207"/>
      <c r="BN21" s="207"/>
      <c r="BO21" s="207"/>
      <c r="BP21" s="207"/>
      <c r="BQ21" s="207"/>
      <c r="BR21" s="207"/>
      <c r="BS21" s="207"/>
      <c r="BT21" s="207"/>
      <c r="BU21" s="207"/>
      <c r="BV21" s="207"/>
      <c r="BW21" s="207"/>
      <c r="BX21" s="207"/>
      <c r="BY21" s="207"/>
      <c r="BZ21" s="207"/>
      <c r="CA21" s="207"/>
      <c r="CB21" s="207"/>
      <c r="CC21" s="207"/>
      <c r="CD21" s="207"/>
      <c r="CE21" s="304"/>
      <c r="CF21" s="304"/>
      <c r="CG21" s="304"/>
      <c r="CH21" s="304"/>
      <c r="CI21" s="304"/>
      <c r="CJ21" s="304"/>
      <c r="CK21" s="304"/>
      <c r="CL21" s="304"/>
      <c r="CM21" s="304"/>
      <c r="CN21" s="304"/>
      <c r="CO21" s="304"/>
      <c r="CP21" s="304"/>
      <c r="CQ21" s="304"/>
      <c r="CR21" s="304"/>
      <c r="CS21" s="305"/>
      <c r="CV21" s="265"/>
      <c r="CW21" s="265"/>
      <c r="CX21" s="267"/>
      <c r="CY21" s="267"/>
      <c r="CZ21" s="267"/>
      <c r="DA21" s="267"/>
      <c r="DB21" s="267"/>
      <c r="DC21" s="267"/>
      <c r="DD21" s="267"/>
      <c r="DE21" s="267"/>
      <c r="DF21" s="267"/>
      <c r="DG21" s="267"/>
      <c r="DH21" s="267"/>
      <c r="DI21" s="267"/>
      <c r="DJ21" s="267"/>
      <c r="DK21" s="267"/>
      <c r="DL21" s="267"/>
      <c r="DM21" s="267"/>
      <c r="DN21" s="267"/>
      <c r="DO21" s="267"/>
      <c r="DP21" s="267"/>
      <c r="DQ21" s="267"/>
      <c r="DR21" s="270"/>
      <c r="DS21" s="270"/>
      <c r="DT21" s="270"/>
      <c r="DU21" s="270"/>
      <c r="DW21" s="278"/>
      <c r="DX21" s="278"/>
      <c r="DY21" s="281"/>
      <c r="DZ21" s="281"/>
      <c r="EB21" s="278"/>
      <c r="EC21" s="278"/>
      <c r="ED21" s="281"/>
      <c r="EE21" s="281"/>
    </row>
    <row r="22" spans="1:158">
      <c r="A22" s="205"/>
      <c r="B22" s="205"/>
      <c r="C22" s="201"/>
      <c r="D22" s="201"/>
      <c r="E22" s="201"/>
      <c r="F22" s="201"/>
      <c r="G22" s="201"/>
      <c r="H22" s="201"/>
      <c r="K22" s="206"/>
      <c r="L22" s="206"/>
      <c r="M22" s="206"/>
      <c r="N22" s="206"/>
      <c r="O22" s="206"/>
      <c r="P22" s="206"/>
      <c r="Q22" s="206"/>
      <c r="R22" s="206"/>
      <c r="S22" s="206"/>
      <c r="T22" s="206"/>
      <c r="U22" s="206"/>
      <c r="V22" s="206"/>
      <c r="W22" s="206"/>
      <c r="X22" s="206"/>
      <c r="Y22" s="206"/>
      <c r="Z22" s="209"/>
      <c r="AA22" s="207"/>
      <c r="AB22" s="207"/>
      <c r="AC22" s="207"/>
      <c r="AD22" s="207"/>
      <c r="AE22" s="207"/>
      <c r="AF22" s="207"/>
      <c r="AG22" s="207"/>
      <c r="AH22" s="207"/>
      <c r="AI22" s="207"/>
      <c r="AJ22" s="207"/>
      <c r="AK22" s="207"/>
      <c r="AL22" s="207"/>
      <c r="AM22" s="207"/>
      <c r="AN22" s="207"/>
      <c r="AO22" s="303"/>
      <c r="AP22" s="303"/>
      <c r="AQ22" s="303"/>
      <c r="AR22" s="303"/>
      <c r="AS22" s="303"/>
      <c r="AT22" s="303"/>
      <c r="AU22" s="303"/>
      <c r="AV22" s="303"/>
      <c r="AW22" s="303"/>
      <c r="AX22" s="303"/>
      <c r="AY22" s="303"/>
      <c r="AZ22" s="303"/>
      <c r="BA22" s="207"/>
      <c r="BB22" s="207"/>
      <c r="BC22" s="207"/>
      <c r="BD22" s="207"/>
      <c r="BE22" s="207"/>
      <c r="BF22" s="207"/>
      <c r="BG22" s="207"/>
      <c r="BH22" s="207"/>
      <c r="BI22" s="207"/>
      <c r="BJ22" s="207"/>
      <c r="BK22" s="207"/>
      <c r="BL22" s="207"/>
      <c r="BM22" s="207"/>
      <c r="BN22" s="207"/>
      <c r="BO22" s="207"/>
      <c r="BP22" s="207"/>
      <c r="BQ22" s="207"/>
      <c r="BR22" s="207"/>
      <c r="BS22" s="207"/>
      <c r="BT22" s="207"/>
      <c r="BU22" s="207"/>
      <c r="BV22" s="207"/>
      <c r="BW22" s="207"/>
      <c r="BX22" s="207"/>
      <c r="BY22" s="207"/>
      <c r="BZ22" s="207"/>
      <c r="CA22" s="207"/>
      <c r="CB22" s="207"/>
      <c r="CC22" s="207"/>
      <c r="CD22" s="207"/>
      <c r="CE22" s="304"/>
      <c r="CF22" s="304"/>
      <c r="CG22" s="304"/>
      <c r="CH22" s="304"/>
      <c r="CI22" s="304"/>
      <c r="CJ22" s="304"/>
      <c r="CK22" s="304"/>
      <c r="CL22" s="304"/>
      <c r="CM22" s="304"/>
      <c r="CN22" s="304"/>
      <c r="CO22" s="304"/>
      <c r="CP22" s="304"/>
      <c r="CQ22" s="304"/>
      <c r="CR22" s="304"/>
      <c r="CS22" s="305"/>
      <c r="CV22" s="267"/>
      <c r="CW22" s="267"/>
      <c r="CX22" s="267"/>
      <c r="CY22" s="267"/>
      <c r="CZ22" s="267"/>
      <c r="DA22" s="267"/>
      <c r="DB22" s="267"/>
      <c r="DC22" s="267"/>
      <c r="DD22" s="267"/>
      <c r="DE22" s="267"/>
      <c r="DF22" s="267"/>
      <c r="DG22" s="267"/>
      <c r="DH22" s="267"/>
      <c r="DI22" s="267"/>
      <c r="DJ22" s="267"/>
      <c r="DK22" s="267"/>
      <c r="DL22" s="267"/>
      <c r="DM22" s="267"/>
      <c r="DN22" s="267"/>
      <c r="DO22" s="267"/>
      <c r="DP22" s="267"/>
      <c r="DQ22" s="267"/>
      <c r="DR22" s="270"/>
      <c r="DS22" s="270"/>
      <c r="DT22" s="270"/>
      <c r="DU22" s="270"/>
      <c r="DW22" s="278"/>
      <c r="DX22" s="278"/>
      <c r="DY22" s="281"/>
      <c r="DZ22" s="281"/>
      <c r="EB22" s="278"/>
      <c r="EC22" s="278"/>
      <c r="ED22" s="281"/>
      <c r="EE22" s="281"/>
    </row>
    <row r="23" spans="1:158">
      <c r="A23" s="205"/>
      <c r="B23" s="205"/>
      <c r="C23" s="201"/>
      <c r="D23" s="201"/>
      <c r="E23" s="201"/>
      <c r="F23" s="201"/>
      <c r="G23" s="201"/>
      <c r="H23" s="201"/>
      <c r="I23" s="56"/>
      <c r="J23" s="56"/>
      <c r="K23" s="206"/>
      <c r="L23" s="206"/>
      <c r="M23" s="206"/>
      <c r="N23" s="206"/>
      <c r="O23" s="206"/>
      <c r="P23" s="206"/>
      <c r="Q23" s="206"/>
      <c r="R23" s="206"/>
      <c r="S23" s="206"/>
      <c r="T23" s="206"/>
      <c r="U23" s="206"/>
      <c r="V23" s="206"/>
      <c r="W23" s="206"/>
      <c r="X23" s="206"/>
      <c r="Y23" s="206"/>
      <c r="Z23" s="209"/>
      <c r="AA23" s="207"/>
      <c r="AB23" s="207"/>
      <c r="AC23" s="207"/>
      <c r="AD23" s="207"/>
      <c r="AE23" s="207"/>
      <c r="AF23" s="207"/>
      <c r="AG23" s="207"/>
      <c r="AH23" s="207"/>
      <c r="AI23" s="207"/>
      <c r="AJ23" s="207"/>
      <c r="AK23" s="207"/>
      <c r="AL23" s="207"/>
      <c r="AM23" s="207"/>
      <c r="AN23" s="207"/>
      <c r="AO23" s="303"/>
      <c r="AP23" s="303"/>
      <c r="AQ23" s="303"/>
      <c r="AR23" s="303"/>
      <c r="AS23" s="303"/>
      <c r="AT23" s="303"/>
      <c r="AU23" s="303"/>
      <c r="AV23" s="303"/>
      <c r="AW23" s="303"/>
      <c r="AX23" s="303"/>
      <c r="AY23" s="303"/>
      <c r="AZ23" s="303"/>
      <c r="BA23" s="207"/>
      <c r="BB23" s="207"/>
      <c r="BC23" s="207"/>
      <c r="BD23" s="207"/>
      <c r="BE23" s="207"/>
      <c r="BF23" s="207"/>
      <c r="BG23" s="207"/>
      <c r="BH23" s="207"/>
      <c r="BI23" s="207"/>
      <c r="BJ23" s="207"/>
      <c r="BK23" s="207"/>
      <c r="BL23" s="207"/>
      <c r="BM23" s="207"/>
      <c r="BN23" s="207"/>
      <c r="BO23" s="207"/>
      <c r="BP23" s="207"/>
      <c r="BQ23" s="207"/>
      <c r="BR23" s="207"/>
      <c r="BS23" s="207"/>
      <c r="BT23" s="207"/>
      <c r="BU23" s="207"/>
      <c r="BV23" s="207"/>
      <c r="BW23" s="207"/>
      <c r="BX23" s="207"/>
      <c r="BY23" s="207"/>
      <c r="BZ23" s="207"/>
      <c r="CA23" s="207"/>
      <c r="CB23" s="207"/>
      <c r="CC23" s="207"/>
      <c r="CD23" s="207"/>
      <c r="CE23" s="304"/>
      <c r="CF23" s="304"/>
      <c r="CG23" s="304"/>
      <c r="CH23" s="304"/>
      <c r="CI23" s="304"/>
      <c r="CJ23" s="304"/>
      <c r="CK23" s="304"/>
      <c r="CL23" s="304"/>
      <c r="CM23" s="304"/>
      <c r="CN23" s="304"/>
      <c r="CO23" s="304"/>
      <c r="CP23" s="304"/>
      <c r="CQ23" s="304"/>
      <c r="CR23" s="304"/>
      <c r="CS23" s="305"/>
      <c r="CV23" s="267"/>
      <c r="CW23" s="267"/>
      <c r="CX23" s="267"/>
      <c r="CY23" s="267"/>
      <c r="CZ23" s="267"/>
      <c r="DA23" s="267"/>
      <c r="DB23" s="267"/>
      <c r="DC23" s="267"/>
      <c r="DD23" s="267"/>
      <c r="DE23" s="267"/>
      <c r="DF23" s="267"/>
      <c r="DG23" s="267"/>
      <c r="DH23" s="267"/>
      <c r="DI23" s="267"/>
      <c r="DJ23" s="267"/>
      <c r="DK23" s="267"/>
      <c r="DL23" s="267"/>
      <c r="DM23" s="267"/>
      <c r="DN23" s="267"/>
      <c r="DO23" s="267"/>
      <c r="DP23" s="267"/>
      <c r="DQ23" s="267"/>
      <c r="DR23" s="270"/>
      <c r="DS23" s="270"/>
      <c r="DT23" s="270"/>
      <c r="DU23" s="270"/>
      <c r="DW23" s="278"/>
      <c r="DX23" s="278"/>
      <c r="DY23" s="281"/>
      <c r="DZ23" s="281"/>
      <c r="EB23" s="278"/>
      <c r="EC23" s="278"/>
      <c r="ED23" s="281"/>
      <c r="EE23" s="281"/>
    </row>
    <row r="24" spans="1:158">
      <c r="I24" s="56"/>
      <c r="J24" s="56"/>
      <c r="DW24" s="278"/>
      <c r="DX24" s="278" t="s">
        <v>26</v>
      </c>
      <c r="DY24" s="281">
        <f>SUM(DY17:DY23)</f>
        <v>2261.4526314830505</v>
      </c>
      <c r="DZ24" s="281">
        <f>SUM(DZ17:DZ23)</f>
        <v>5.9847848156929944</v>
      </c>
      <c r="EC24" s="278" t="s">
        <v>26</v>
      </c>
      <c r="ED24" s="281">
        <f>DY24</f>
        <v>2261.4526314830505</v>
      </c>
      <c r="EE24" s="281">
        <f>DZ24</f>
        <v>5.9847848156929944</v>
      </c>
    </row>
    <row r="25" spans="1:158">
      <c r="A25" s="205"/>
      <c r="B25" s="205"/>
      <c r="C25" s="201"/>
      <c r="D25" s="201"/>
      <c r="E25" s="201"/>
      <c r="F25" s="201"/>
      <c r="G25" s="201"/>
      <c r="H25" s="201"/>
      <c r="I25" s="56"/>
      <c r="J25" s="56"/>
      <c r="ED25" s="230">
        <f>SUM(ED17:ED23)-ED24</f>
        <v>0</v>
      </c>
      <c r="EE25" s="230" t="b">
        <f>SUM(EE17:EE23)=EE24</f>
        <v>1</v>
      </c>
    </row>
    <row r="26" spans="1:158">
      <c r="A26" s="205"/>
      <c r="B26" s="205"/>
      <c r="C26" s="201"/>
      <c r="D26" s="201"/>
      <c r="E26" s="201"/>
      <c r="F26" s="201"/>
      <c r="G26" s="201"/>
      <c r="H26" s="201"/>
      <c r="I26" s="56"/>
      <c r="J26" s="56"/>
    </row>
    <row r="27" spans="1:158">
      <c r="A27" s="205"/>
      <c r="B27" s="205"/>
      <c r="C27" s="201"/>
      <c r="D27" s="201"/>
      <c r="E27" s="201"/>
      <c r="F27" s="201"/>
      <c r="G27" s="201"/>
      <c r="H27" s="201"/>
      <c r="I27" s="56"/>
      <c r="J27" s="56"/>
    </row>
    <row r="28" spans="1:158">
      <c r="A28" s="205"/>
      <c r="B28" s="205"/>
      <c r="C28" s="201"/>
      <c r="D28" s="201"/>
      <c r="E28" s="201"/>
      <c r="F28" s="201"/>
      <c r="G28" s="201"/>
      <c r="H28" s="201"/>
      <c r="I28" s="56"/>
      <c r="J28" s="56"/>
    </row>
    <row r="29" spans="1:158">
      <c r="A29" s="205"/>
      <c r="B29" s="205"/>
      <c r="C29" s="201"/>
      <c r="D29" s="201"/>
      <c r="E29" s="201"/>
      <c r="F29" s="201"/>
      <c r="G29" s="201"/>
      <c r="H29" s="352">
        <f>SUM(H17:H28)</f>
        <v>6175.6973062294373</v>
      </c>
      <c r="I29" s="97" t="b">
        <f>H29=M7*(1+KTDB_발생량도착량_증가율!$C$8*5)</f>
        <v>0</v>
      </c>
      <c r="J29" s="230"/>
    </row>
    <row r="53" spans="1:164">
      <c r="FA53" s="277"/>
    </row>
    <row r="54" spans="1:164">
      <c r="FA54" s="277"/>
    </row>
    <row r="55" spans="1:164">
      <c r="FA55" s="277"/>
    </row>
    <row r="56" spans="1:164" s="227" customFormat="1" ht="19.5">
      <c r="A56" s="329">
        <v>2025</v>
      </c>
      <c r="B56" s="282"/>
      <c r="C56" s="283"/>
      <c r="D56" s="284"/>
      <c r="E56" s="284"/>
      <c r="F56" s="284"/>
      <c r="G56" s="284"/>
      <c r="H56" s="284"/>
      <c r="I56" s="284"/>
      <c r="K56" s="282"/>
      <c r="L56" s="282"/>
      <c r="M56" s="283"/>
      <c r="N56" s="284"/>
      <c r="O56" s="284"/>
      <c r="P56" s="284"/>
      <c r="Q56" s="284"/>
      <c r="R56" s="284"/>
      <c r="S56" s="284"/>
    </row>
    <row r="57" spans="1:164" ht="23.5" thickBot="1">
      <c r="A57" s="32" t="s">
        <v>641</v>
      </c>
      <c r="C57" t="s">
        <v>463</v>
      </c>
      <c r="D57" t="s">
        <v>467</v>
      </c>
      <c r="E57" t="s">
        <v>470</v>
      </c>
      <c r="F57" t="s">
        <v>465</v>
      </c>
      <c r="G57" t="s">
        <v>466</v>
      </c>
      <c r="H57" t="s">
        <v>21</v>
      </c>
      <c r="K57" s="32" t="s">
        <v>471</v>
      </c>
      <c r="CV57" s="32" t="s">
        <v>492</v>
      </c>
      <c r="CY57" t="s">
        <v>478</v>
      </c>
      <c r="CZ57" t="s">
        <v>479</v>
      </c>
      <c r="EL57" s="353" t="s">
        <v>855</v>
      </c>
      <c r="EV57" s="353" t="s">
        <v>745</v>
      </c>
    </row>
    <row r="58" spans="1:164">
      <c r="A58" t="s">
        <v>462</v>
      </c>
      <c r="C58" t="s">
        <v>427</v>
      </c>
      <c r="D58" t="s">
        <v>428</v>
      </c>
      <c r="E58" t="s">
        <v>429</v>
      </c>
      <c r="F58" t="s">
        <v>430</v>
      </c>
      <c r="G58" t="s">
        <v>431</v>
      </c>
      <c r="H58" t="s">
        <v>457</v>
      </c>
      <c r="K58" s="159" t="s">
        <v>482</v>
      </c>
      <c r="L58" s="159"/>
      <c r="M58" s="443" t="s">
        <v>463</v>
      </c>
      <c r="N58" s="444"/>
      <c r="O58" s="444"/>
      <c r="P58" s="444"/>
      <c r="Q58" s="444"/>
      <c r="R58" s="444"/>
      <c r="S58" s="444"/>
      <c r="T58" s="444"/>
      <c r="U58" s="444"/>
      <c r="V58" s="444"/>
      <c r="W58" s="444"/>
      <c r="X58" s="444"/>
      <c r="Y58" s="444"/>
      <c r="Z58" s="445"/>
      <c r="AA58" s="443" t="s">
        <v>467</v>
      </c>
      <c r="AB58" s="444"/>
      <c r="AC58" s="444"/>
      <c r="AD58" s="444"/>
      <c r="AE58" s="444"/>
      <c r="AF58" s="444"/>
      <c r="AG58" s="444"/>
      <c r="AH58" s="444"/>
      <c r="AI58" s="444"/>
      <c r="AJ58" s="444"/>
      <c r="AK58" s="444"/>
      <c r="AL58" s="444"/>
      <c r="AM58" s="444"/>
      <c r="AN58" s="445"/>
      <c r="AO58" s="443" t="s">
        <v>464</v>
      </c>
      <c r="AP58" s="444"/>
      <c r="AQ58" s="444"/>
      <c r="AR58" s="444"/>
      <c r="AS58" s="444"/>
      <c r="AT58" s="444"/>
      <c r="AU58" s="444"/>
      <c r="AV58" s="444"/>
      <c r="AW58" s="444"/>
      <c r="AX58" s="444"/>
      <c r="AY58" s="444"/>
      <c r="AZ58" s="444"/>
      <c r="BA58" s="444"/>
      <c r="BB58" s="445"/>
      <c r="BC58" s="443" t="s">
        <v>465</v>
      </c>
      <c r="BD58" s="444"/>
      <c r="BE58" s="444"/>
      <c r="BF58" s="444"/>
      <c r="BG58" s="444"/>
      <c r="BH58" s="444"/>
      <c r="BI58" s="444"/>
      <c r="BJ58" s="444"/>
      <c r="BK58" s="444"/>
      <c r="BL58" s="444"/>
      <c r="BM58" s="444"/>
      <c r="BN58" s="444"/>
      <c r="BO58" s="444"/>
      <c r="BP58" s="445"/>
      <c r="BQ58" s="443" t="s">
        <v>466</v>
      </c>
      <c r="BR58" s="444"/>
      <c r="BS58" s="444"/>
      <c r="BT58" s="444"/>
      <c r="BU58" s="444"/>
      <c r="BV58" s="444"/>
      <c r="BW58" s="444"/>
      <c r="BX58" s="444"/>
      <c r="BY58" s="444"/>
      <c r="BZ58" s="444"/>
      <c r="CA58" s="444"/>
      <c r="CB58" s="444"/>
      <c r="CC58" s="444"/>
      <c r="CD58" s="445"/>
      <c r="CE58" s="443" t="s">
        <v>21</v>
      </c>
      <c r="CF58" s="444"/>
      <c r="CG58" s="444"/>
      <c r="CH58" s="444"/>
      <c r="CI58" s="444"/>
      <c r="CJ58" s="444"/>
      <c r="CK58" s="444"/>
      <c r="CL58" s="444"/>
      <c r="CM58" s="444"/>
      <c r="CN58" s="444"/>
      <c r="CO58" s="444"/>
      <c r="CP58" s="444"/>
      <c r="CQ58" s="444"/>
      <c r="CR58" s="445"/>
      <c r="CV58" s="263" t="s">
        <v>482</v>
      </c>
      <c r="CW58" s="263"/>
      <c r="CX58" s="446" t="s">
        <v>554</v>
      </c>
      <c r="CY58" s="439"/>
      <c r="CZ58" s="439"/>
      <c r="DA58" s="440"/>
      <c r="DB58" s="438" t="s">
        <v>553</v>
      </c>
      <c r="DC58" s="439"/>
      <c r="DD58" s="439"/>
      <c r="DE58" s="440"/>
      <c r="DF58" s="438" t="s">
        <v>464</v>
      </c>
      <c r="DG58" s="439"/>
      <c r="DH58" s="439"/>
      <c r="DI58" s="440"/>
      <c r="DJ58" s="438" t="s">
        <v>465</v>
      </c>
      <c r="DK58" s="439"/>
      <c r="DL58" s="439"/>
      <c r="DM58" s="440"/>
      <c r="DN58" s="438" t="s">
        <v>466</v>
      </c>
      <c r="DO58" s="439"/>
      <c r="DP58" s="439"/>
      <c r="DQ58" s="440"/>
      <c r="DR58" s="438" t="s">
        <v>21</v>
      </c>
      <c r="DS58" s="439"/>
      <c r="DT58" s="439"/>
      <c r="DU58" s="441"/>
      <c r="DW58" s="278"/>
      <c r="DX58" s="278"/>
      <c r="DY58" s="442" t="s">
        <v>588</v>
      </c>
      <c r="DZ58" s="442"/>
      <c r="EB58" s="278"/>
      <c r="EC58" s="278"/>
      <c r="ED58" s="442" t="s">
        <v>588</v>
      </c>
      <c r="EE58" s="442"/>
      <c r="EI58" t="s">
        <v>599</v>
      </c>
    </row>
    <row r="59" spans="1:164">
      <c r="A59" s="199"/>
      <c r="B59" s="199"/>
      <c r="C59" s="202" t="s">
        <v>463</v>
      </c>
      <c r="D59" s="202" t="s">
        <v>467</v>
      </c>
      <c r="E59" s="202" t="s">
        <v>464</v>
      </c>
      <c r="F59" s="202" t="s">
        <v>465</v>
      </c>
      <c r="G59" s="202" t="s">
        <v>558</v>
      </c>
      <c r="H59" s="202" t="s">
        <v>21</v>
      </c>
      <c r="K59" s="159"/>
      <c r="L59" s="159"/>
      <c r="M59" s="211" t="s">
        <v>472</v>
      </c>
      <c r="N59" s="160" t="s">
        <v>156</v>
      </c>
      <c r="O59" s="160" t="s">
        <v>475</v>
      </c>
      <c r="P59" s="160" t="s">
        <v>476</v>
      </c>
      <c r="Q59" s="160" t="s">
        <v>477</v>
      </c>
      <c r="R59" s="160" t="s">
        <v>478</v>
      </c>
      <c r="S59" s="160" t="s">
        <v>479</v>
      </c>
      <c r="T59" s="160" t="s">
        <v>480</v>
      </c>
      <c r="U59" s="160" t="s">
        <v>449</v>
      </c>
      <c r="V59" s="160" t="s">
        <v>157</v>
      </c>
      <c r="W59" s="160" t="s">
        <v>473</v>
      </c>
      <c r="X59" s="160" t="s">
        <v>474</v>
      </c>
      <c r="Y59" s="160" t="s">
        <v>46</v>
      </c>
      <c r="Z59" s="212" t="s">
        <v>11</v>
      </c>
      <c r="AA59" s="211" t="s">
        <v>472</v>
      </c>
      <c r="AB59" s="160" t="s">
        <v>156</v>
      </c>
      <c r="AC59" s="160" t="s">
        <v>475</v>
      </c>
      <c r="AD59" s="160" t="s">
        <v>476</v>
      </c>
      <c r="AE59" s="160" t="s">
        <v>477</v>
      </c>
      <c r="AF59" s="160" t="s">
        <v>478</v>
      </c>
      <c r="AG59" s="160" t="s">
        <v>479</v>
      </c>
      <c r="AH59" s="160" t="s">
        <v>480</v>
      </c>
      <c r="AI59" s="160" t="s">
        <v>449</v>
      </c>
      <c r="AJ59" s="160" t="s">
        <v>157</v>
      </c>
      <c r="AK59" s="160" t="s">
        <v>473</v>
      </c>
      <c r="AL59" s="160" t="s">
        <v>474</v>
      </c>
      <c r="AM59" s="160" t="s">
        <v>46</v>
      </c>
      <c r="AN59" s="212" t="s">
        <v>11</v>
      </c>
      <c r="AO59" s="211" t="s">
        <v>472</v>
      </c>
      <c r="AP59" s="160" t="s">
        <v>156</v>
      </c>
      <c r="AQ59" s="160" t="s">
        <v>475</v>
      </c>
      <c r="AR59" s="160" t="s">
        <v>476</v>
      </c>
      <c r="AS59" s="160" t="s">
        <v>477</v>
      </c>
      <c r="AT59" s="160" t="s">
        <v>478</v>
      </c>
      <c r="AU59" s="160" t="s">
        <v>479</v>
      </c>
      <c r="AV59" s="160" t="s">
        <v>480</v>
      </c>
      <c r="AW59" s="160" t="s">
        <v>449</v>
      </c>
      <c r="AX59" s="160" t="s">
        <v>157</v>
      </c>
      <c r="AY59" s="160" t="s">
        <v>473</v>
      </c>
      <c r="AZ59" s="160" t="s">
        <v>474</v>
      </c>
      <c r="BA59" s="160" t="s">
        <v>46</v>
      </c>
      <c r="BB59" s="212" t="s">
        <v>11</v>
      </c>
      <c r="BC59" s="211" t="s">
        <v>472</v>
      </c>
      <c r="BD59" s="160" t="s">
        <v>156</v>
      </c>
      <c r="BE59" s="160" t="s">
        <v>475</v>
      </c>
      <c r="BF59" s="160" t="s">
        <v>476</v>
      </c>
      <c r="BG59" s="160" t="s">
        <v>477</v>
      </c>
      <c r="BH59" s="160" t="s">
        <v>478</v>
      </c>
      <c r="BI59" s="160" t="s">
        <v>479</v>
      </c>
      <c r="BJ59" s="160" t="s">
        <v>480</v>
      </c>
      <c r="BK59" s="160" t="s">
        <v>449</v>
      </c>
      <c r="BL59" s="160" t="s">
        <v>157</v>
      </c>
      <c r="BM59" s="160" t="s">
        <v>473</v>
      </c>
      <c r="BN59" s="160" t="s">
        <v>474</v>
      </c>
      <c r="BO59" s="160" t="s">
        <v>46</v>
      </c>
      <c r="BP59" s="212" t="s">
        <v>11</v>
      </c>
      <c r="BQ59" s="211" t="s">
        <v>472</v>
      </c>
      <c r="BR59" s="160" t="s">
        <v>156</v>
      </c>
      <c r="BS59" s="160" t="s">
        <v>475</v>
      </c>
      <c r="BT59" s="160" t="s">
        <v>476</v>
      </c>
      <c r="BU59" s="160" t="s">
        <v>477</v>
      </c>
      <c r="BV59" s="160" t="s">
        <v>478</v>
      </c>
      <c r="BW59" s="160" t="s">
        <v>479</v>
      </c>
      <c r="BX59" s="160" t="s">
        <v>480</v>
      </c>
      <c r="BY59" s="160" t="s">
        <v>449</v>
      </c>
      <c r="BZ59" s="160" t="s">
        <v>157</v>
      </c>
      <c r="CA59" s="160" t="s">
        <v>473</v>
      </c>
      <c r="CB59" s="160" t="s">
        <v>474</v>
      </c>
      <c r="CC59" s="160" t="s">
        <v>46</v>
      </c>
      <c r="CD59" s="212" t="s">
        <v>11</v>
      </c>
      <c r="CE59" s="211" t="s">
        <v>472</v>
      </c>
      <c r="CF59" s="160" t="s">
        <v>156</v>
      </c>
      <c r="CG59" s="160" t="s">
        <v>475</v>
      </c>
      <c r="CH59" s="160" t="s">
        <v>476</v>
      </c>
      <c r="CI59" s="160" t="s">
        <v>477</v>
      </c>
      <c r="CJ59" s="160" t="s">
        <v>478</v>
      </c>
      <c r="CK59" s="160" t="s">
        <v>479</v>
      </c>
      <c r="CL59" s="160" t="s">
        <v>480</v>
      </c>
      <c r="CM59" s="160" t="s">
        <v>449</v>
      </c>
      <c r="CN59" s="160" t="s">
        <v>157</v>
      </c>
      <c r="CO59" s="160" t="s">
        <v>473</v>
      </c>
      <c r="CP59" s="160" t="s">
        <v>474</v>
      </c>
      <c r="CQ59" s="160" t="s">
        <v>46</v>
      </c>
      <c r="CR59" s="212" t="s">
        <v>11</v>
      </c>
      <c r="CV59" s="263"/>
      <c r="CW59" s="263"/>
      <c r="CX59" s="264" t="s">
        <v>156</v>
      </c>
      <c r="CY59" s="264" t="s">
        <v>478</v>
      </c>
      <c r="CZ59" s="264" t="s">
        <v>479</v>
      </c>
      <c r="DA59" s="264" t="s">
        <v>157</v>
      </c>
      <c r="DB59" s="264" t="s">
        <v>156</v>
      </c>
      <c r="DC59" s="264" t="s">
        <v>478</v>
      </c>
      <c r="DD59" s="264" t="s">
        <v>479</v>
      </c>
      <c r="DE59" s="264" t="s">
        <v>157</v>
      </c>
      <c r="DF59" s="264" t="s">
        <v>156</v>
      </c>
      <c r="DG59" s="264" t="s">
        <v>478</v>
      </c>
      <c r="DH59" s="264" t="s">
        <v>479</v>
      </c>
      <c r="DI59" s="264" t="s">
        <v>157</v>
      </c>
      <c r="DJ59" s="264" t="s">
        <v>156</v>
      </c>
      <c r="DK59" s="264" t="s">
        <v>478</v>
      </c>
      <c r="DL59" s="264" t="s">
        <v>479</v>
      </c>
      <c r="DM59" s="264" t="s">
        <v>157</v>
      </c>
      <c r="DN59" s="264" t="s">
        <v>156</v>
      </c>
      <c r="DO59" s="264" t="s">
        <v>478</v>
      </c>
      <c r="DP59" s="264" t="s">
        <v>479</v>
      </c>
      <c r="DQ59" s="264" t="s">
        <v>157</v>
      </c>
      <c r="DR59" s="264" t="s">
        <v>156</v>
      </c>
      <c r="DS59" s="264" t="s">
        <v>478</v>
      </c>
      <c r="DT59" s="264" t="s">
        <v>479</v>
      </c>
      <c r="DU59" s="264" t="s">
        <v>157</v>
      </c>
      <c r="DW59" s="278"/>
      <c r="DX59" s="278"/>
      <c r="DY59" s="280" t="s">
        <v>585</v>
      </c>
      <c r="DZ59" s="280" t="s">
        <v>259</v>
      </c>
      <c r="EB59" s="278"/>
      <c r="EC59" s="278"/>
      <c r="ED59" s="280" t="s">
        <v>585</v>
      </c>
      <c r="EE59" s="280" t="s">
        <v>259</v>
      </c>
      <c r="EL59" s="420" t="s">
        <v>564</v>
      </c>
      <c r="EM59" s="420" t="s">
        <v>565</v>
      </c>
      <c r="EN59" s="420" t="s">
        <v>566</v>
      </c>
      <c r="EO59" s="420" t="s">
        <v>562</v>
      </c>
      <c r="EP59" s="421" t="s">
        <v>597</v>
      </c>
      <c r="EQ59" s="421" t="s">
        <v>585</v>
      </c>
      <c r="ER59" s="421" t="s">
        <v>259</v>
      </c>
      <c r="ES59" s="424" t="s">
        <v>867</v>
      </c>
      <c r="EV59" s="306" t="s">
        <v>564</v>
      </c>
      <c r="EW59" s="306" t="s">
        <v>565</v>
      </c>
      <c r="EX59" s="306" t="s">
        <v>566</v>
      </c>
      <c r="EY59" s="306" t="s">
        <v>562</v>
      </c>
      <c r="EZ59" s="307" t="s">
        <v>597</v>
      </c>
      <c r="FA59" s="307" t="s">
        <v>585</v>
      </c>
      <c r="FB59" s="307" t="s">
        <v>259</v>
      </c>
    </row>
    <row r="60" spans="1:164">
      <c r="A60" s="205"/>
      <c r="B60" s="205" t="s">
        <v>744</v>
      </c>
      <c r="C60" s="400">
        <f>$L$7*KTDB_TripDistribution_2040!T$12 * (1+KTDB_발생량도착량_증가율!$C$7*5) * (1+KTDB_발생량도착량_증가율!$D$8*5) * (1+KTDB_발생량도착량_증가율!$E$8*5) * (1+KTDB_발생량도착량_증가율!$F$8*5)</f>
        <v>713.24306210452585</v>
      </c>
      <c r="D60" s="400">
        <f>$L$7*KTDB_TripDistribution_2040!U$12 * (1+KTDB_발생량도착량_증가율!$C$7*5) * (1+KTDB_발생량도착량_증가율!$D$8*5) * (1+KTDB_발생량도착량_증가율!$E$8*5) * (1+KTDB_발생량도착량_증가율!$F$8*5)</f>
        <v>5161.8859569301831</v>
      </c>
      <c r="E60" s="400">
        <f>$L$7*KTDB_TripDistribution_2040!V$12 * (1+KTDB_발생량도착량_증가율!$C$7*5) * (1+KTDB_발생량도착량_증가율!$D$8*5) * (1+KTDB_발생량도착량_증가율!$E$8*5) * (1+KTDB_발생량도착량_증가율!$F$8*5)</f>
        <v>296.12462060842614</v>
      </c>
      <c r="F60" s="400">
        <f>$L$7*KTDB_TripDistribution_2040!W$12 * (1+KTDB_발생량도착량_증가율!$C$7*5) * (1+KTDB_발생량도착량_증가율!$D$8*5) * (1+KTDB_발생량도착량_증가율!$E$8*5) * (1+KTDB_발생량도착량_증가율!$F$8*5)</f>
        <v>0.46536084956798396</v>
      </c>
      <c r="G60" s="400">
        <f>$L$7*KTDB_TripDistribution_2040!X$12 * (1+KTDB_발생량도착량_증가율!$C$7*5) * (1+KTDB_발생량도착량_증가율!$D$8*5) * (1+KTDB_발생량도착량_증가율!$E$8*5) * (1+KTDB_발생량도착량_증가율!$F$8*5)</f>
        <v>1.7580298761457112</v>
      </c>
      <c r="H60" s="400">
        <f>$L$7*KTDB_TripDistribution_2040!Y$12 * (1+KTDB_발생량도착량_증가율!$C$7*5) * (1+KTDB_발생량도착량_증가율!$D$8*5) * (1+KTDB_발생량도착량_증가율!$E$8*5) * (1+KTDB_발생량도착량_증가율!$F$8*5)</f>
        <v>6173.4770303688492</v>
      </c>
      <c r="J60" s="230">
        <f t="shared" ref="J60" si="5">CR60</f>
        <v>6173.4770303688492</v>
      </c>
      <c r="K60" s="206"/>
      <c r="L60" s="206" t="s">
        <v>743</v>
      </c>
      <c r="M60" s="206">
        <f>INDEX($A$59:$H$60,MATCH($L60,$B$59:$B$60,0),MATCH($M$58,$A$59:$H$59,0))*고양시_Modal_split!C$3 * 0.01</f>
        <v>1.9970805738926722</v>
      </c>
      <c r="N60" s="206">
        <f>INDEX($A$59:$H$60,MATCH($L60,$B$59:$B$60,0),MATCH($M$58,$A$59:$H$59,0))*고양시_Modal_split!D$3 * 0.01</f>
        <v>335.43821210775855</v>
      </c>
      <c r="O60" s="206">
        <f>INDEX($A$59:$H$60,MATCH($L60,$B$59:$B$60,0),MATCH($M$58,$A$59:$H$59,0))*고양시_Modal_split!E$3 * 0.01</f>
        <v>40.583530233747517</v>
      </c>
      <c r="P60" s="206">
        <f>INDEX($A$59:$H$60,MATCH($L60,$B$59:$B$60,0),MATCH($M$58,$A$59:$H$59,0))*고양시_Modal_split!F$3 * 0.01</f>
        <v>65.40438879498501</v>
      </c>
      <c r="Q60" s="206">
        <f>INDEX($A$59:$H$60,MATCH($L60,$B$59:$B$60,0),MATCH($M$58,$A$59:$H$59,0))*고양시_Modal_split!G$3 * 0.01</f>
        <v>6.5618361713616382</v>
      </c>
      <c r="R60" s="206">
        <f>INDEX($A$59:$H$60,MATCH($L60,$B$59:$B$60,0),MATCH($M$58,$A$59:$H$59,0))*고양시_Modal_split!H$3 * 0.01</f>
        <v>7.132430621045259E-2</v>
      </c>
      <c r="S60" s="206">
        <f>INDEX($A$59:$H$60,MATCH($L60,$B$59:$B$60,0),MATCH($M$58,$A$59:$H$59,0))*고양시_Modal_split!I$3 * 0.01</f>
        <v>19.828157126505818</v>
      </c>
      <c r="T60" s="206">
        <f>INDEX($A$59:$H$60,MATCH($L60,$B$59:$B$60,0),MATCH($M$58,$A$59:$H$59,0))*고양시_Modal_split!J$3 * 0.01</f>
        <v>217.1111881046177</v>
      </c>
      <c r="U60" s="206">
        <f>INDEX($A$59:$H$60,MATCH($L60,$B$59:$B$60,0),MATCH($M$58,$A$59:$H$59,0))*고양시_Modal_split!K$3 * 0.01</f>
        <v>1.0698645931567887</v>
      </c>
      <c r="V60" s="206">
        <f>INDEX($A$59:$H$60,MATCH($L60,$B$59:$B$60,0),MATCH($M$58,$A$59:$H$59,0))*고양시_Modal_split!L$3 * 0.01</f>
        <v>21.539940475556683</v>
      </c>
      <c r="W60" s="206">
        <f>INDEX($A$59:$H$60,MATCH($L60,$B$59:$B$60,0),MATCH($M$58,$A$59:$H$59,0))*고양시_Modal_split!M$3 * 0.01</f>
        <v>1.6404590428404096</v>
      </c>
      <c r="X60" s="206">
        <f>INDEX($A$59:$H$60,MATCH($L60,$B$59:$B$60,0),MATCH($M$58,$A$59:$H$59,0))*고양시_Modal_split!N$3 * 0.01</f>
        <v>0.71324306210452593</v>
      </c>
      <c r="Y60" s="206">
        <f>INDEX($A$59:$H$60,MATCH($L60,$B$59:$B$60,0),MATCH($M$58,$A$59:$H$59,0))*고양시_Modal_split!O$3 * 0.01</f>
        <v>1.2838375117881464</v>
      </c>
      <c r="Z60" s="209">
        <f>INDEX($A$59:$H$60,MATCH($L60,$B$59:$B$60,0),MATCH($M$58,$A$59:$H$59,0))*고양시_Modal_split!P$3 * 0.01</f>
        <v>713.24306210452585</v>
      </c>
      <c r="AA60" s="206">
        <f>INDEX($A$59:$H$60,MATCH($L60,$B$59:$B$60,0),MATCH($AA$58,$A$59:$H$59,0))*고양시_Modal_split!C$3 * 0.01</f>
        <v>14.453280679404511</v>
      </c>
      <c r="AB60" s="207">
        <f>INDEX($A$59:$H$60,MATCH($L60,$B$59:$B$60,0),MATCH($AA$58,$A$59:$H$59,0))*고양시_Modal_split!D$3 * 0.01</f>
        <v>2427.6349655442655</v>
      </c>
      <c r="AC60" s="207">
        <f>INDEX($A$59:$H$60,MATCH($L60,$B$59:$B$60,0),MATCH($AA$58,$A$59:$H$59,0))*고양시_Modal_split!E$3 * 0.01</f>
        <v>293.71131094932741</v>
      </c>
      <c r="AD60" s="207">
        <f>INDEX($A$59:$H$60,MATCH($L60,$B$59:$B$60,0),MATCH($AA$58,$A$59:$H$59,0))*고양시_Modal_split!F$3 * 0.01</f>
        <v>473.34494225049775</v>
      </c>
      <c r="AE60" s="207">
        <f>INDEX($A$59:$H$60,MATCH($L60,$B$59:$B$60,0),MATCH($AA$58,$A$59:$H$59,0))*고양시_Modal_split!G$3 * 0.01</f>
        <v>47.489350803757681</v>
      </c>
      <c r="AF60" s="207">
        <f>INDEX($A$59:$H$60,MATCH($L60,$B$59:$B$60,0),MATCH($AA$58,$A$59:$H$59,0))*고양시_Modal_split!H$3 * 0.01</f>
        <v>0.51618859569301834</v>
      </c>
      <c r="AG60" s="207">
        <f>INDEX($A$59:$H$60,MATCH($L60,$B$59:$B$60,0),MATCH($AA$58,$A$59:$H$59,0))*고양시_Modal_split!I$3 * 0.01</f>
        <v>143.50042960265907</v>
      </c>
      <c r="AH60" s="207">
        <f>INDEX($A$59:$H$60,MATCH($L60,$B$59:$B$60,0),MATCH($AA$58,$A$59:$H$59,0))*고양시_Modal_split!J$3 * 0.01</f>
        <v>1571.2780852895478</v>
      </c>
      <c r="AI60" s="207">
        <f>INDEX($A$59:$H$60,MATCH($L60,$B$59:$B$60,0),MATCH($AA$58,$A$59:$H$59,0))*고양시_Modal_split!K$3 * 0.01</f>
        <v>7.7428289353952744</v>
      </c>
      <c r="AJ60" s="207">
        <f>INDEX($A$59:$H$60,MATCH($L60,$B$59:$B$60,0),MATCH($AA$58,$A$59:$H$59,0))*고양시_Modal_split!L$3 * 0.01</f>
        <v>155.88895589929152</v>
      </c>
      <c r="AK60" s="207">
        <f>INDEX($A$59:$H$60,MATCH($L60,$B$59:$B$60,0),MATCH($AA$58,$A$59:$H$59,0))*고양시_Modal_split!M$3 * 0.01</f>
        <v>11.87233770093942</v>
      </c>
      <c r="AL60" s="207">
        <f>INDEX($A$59:$H$60,MATCH($L60,$B$59:$B$60,0),MATCH($AA$58,$A$59:$H$59,0))*고양시_Modal_split!N$3 * 0.01</f>
        <v>5.1618859569301838</v>
      </c>
      <c r="AM60" s="207">
        <f>INDEX($A$59:$H$60,MATCH($L60,$B$59:$B$60,0),MATCH($AA$58,$A$59:$H$59,0))*고양시_Modal_split!O$3 * 0.01</f>
        <v>9.2913947224743296</v>
      </c>
      <c r="AN60" s="207">
        <f>INDEX($A$59:$H$60,MATCH($L60,$B$59:$B$60,0),MATCH($AA$58,$A$59:$H$59,0))*고양시_Modal_split!P$3 * 0.01</f>
        <v>5161.8859569301831</v>
      </c>
      <c r="AO60" s="206">
        <f>INDEX($A$59:$H$60,MATCH($L60,$B$59:$B$60,0),MATCH($AO$58,$A$59:$H$59,0))*고양시_Modal_split!C$3 * 0.01</f>
        <v>0.8291489377035931</v>
      </c>
      <c r="AP60" s="303">
        <f>INDEX($A$59:$H$60,MATCH($L60,$B$59:$B$60,0),MATCH($AO$58,$A$59:$H$59,0))*고양시_Modal_split!D$3 * 0.01</f>
        <v>139.26740907214281</v>
      </c>
      <c r="AQ60" s="303">
        <f>INDEX($A$59:$H$60,MATCH($L60,$B$59:$B$60,0),MATCH($AO$58,$A$59:$H$59,0))*고양시_Modal_split!E$3 * 0.01</f>
        <v>16.849490912619448</v>
      </c>
      <c r="AR60" s="303">
        <f>INDEX($A$59:$H$60,MATCH($L60,$B$59:$B$60,0),MATCH($AO$58,$A$59:$H$59,0))*고양시_Modal_split!F$3 * 0.01</f>
        <v>27.154627709792678</v>
      </c>
      <c r="AS60" s="303">
        <f>INDEX($A$59:$H$60,MATCH($L60,$B$59:$B$60,0),MATCH($AO$58,$A$59:$H$59,0))*고양시_Modal_split!G$3 * 0.01</f>
        <v>2.7243465095975203</v>
      </c>
      <c r="AT60" s="303">
        <f>INDEX($A$59:$H$60,MATCH($L60,$B$59:$B$60,0),MATCH($AO$58,$A$59:$H$59,0))*고양시_Modal_split!H$3 * 0.01</f>
        <v>2.9612462060842615E-2</v>
      </c>
      <c r="AU60" s="303">
        <f>INDEX($A$59:$H$60,MATCH($L60,$B$59:$B$60,0),MATCH($AO$58,$A$59:$H$59,0))*고양시_Modal_split!I$3 * 0.01</f>
        <v>8.2322644529142472</v>
      </c>
      <c r="AV60" s="303">
        <f>INDEX($A$59:$H$60,MATCH($L60,$B$59:$B$60,0),MATCH($AO$58,$A$59:$H$59,0))*고양시_Modal_split!J$3 * 0.01</f>
        <v>90.140334513204934</v>
      </c>
      <c r="AW60" s="303">
        <f>INDEX($A$59:$H$60,MATCH($L60,$B$59:$B$60,0),MATCH($AO$58,$A$59:$H$59,0))*고양시_Modal_split!K$3 * 0.01</f>
        <v>0.44418693091263917</v>
      </c>
      <c r="AX60" s="303">
        <f>INDEX($A$59:$H$60,MATCH($L60,$B$59:$B$60,0),MATCH($AO$58,$A$59:$H$59,0))*고양시_Modal_split!L$3 * 0.01</f>
        <v>8.9429635423744696</v>
      </c>
      <c r="AY60" s="303">
        <f>INDEX($A$59:$H$60,MATCH($L60,$B$59:$B$60,0),MATCH($AO$58,$A$59:$H$59,0))*고양시_Modal_split!M$3 * 0.01</f>
        <v>0.68108662739938008</v>
      </c>
      <c r="AZ60" s="303">
        <f>INDEX($A$59:$H$60,MATCH($L60,$B$59:$B$60,0),MATCH($AO$58,$A$59:$H$59,0))*고양시_Modal_split!N$3 * 0.01</f>
        <v>0.2961246206084262</v>
      </c>
      <c r="BA60" s="207">
        <f>INDEX($A$59:$H$60,MATCH($L60,$B$59:$B$60,0),MATCH($AO$58,$A$59:$H$59,0))*고양시_Modal_split!O$3 * 0.01</f>
        <v>0.53302431709516707</v>
      </c>
      <c r="BB60" s="207">
        <f>INDEX($A$59:$H$60,MATCH($L60,$B$59:$B$60,0),MATCH($AO$58,$A$59:$H$59,0))*고양시_Modal_split!P$3 * 0.01</f>
        <v>296.12462060842614</v>
      </c>
      <c r="BC60" s="207">
        <f>INDEX($A$59:$H$60,MATCH($L60,$B$59:$B$60,0),MATCH($BC$58,$A$59:$H$59,0))*고양시_Modal_split!C$3 * 0.01</f>
        <v>1.303010378790355E-3</v>
      </c>
      <c r="BD60" s="207">
        <f>INDEX($A$59:$H$60,MATCH($L60,$B$59:$B$60,0),MATCH($BC$58,$A$59:$H$59,0))*고양시_Modal_split!D$3 * 0.01</f>
        <v>0.21885920755182287</v>
      </c>
      <c r="BE60" s="207">
        <f>INDEX($A$59:$H$60,MATCH($L60,$B$59:$B$60,0),MATCH($BC$58,$A$59:$H$59,0))*고양시_Modal_split!E$3 * 0.01</f>
        <v>2.6479032340418287E-2</v>
      </c>
      <c r="BF60" s="207">
        <f>INDEX($A$59:$H$60,MATCH($L60,$B$59:$B$60,0),MATCH($BC$58,$A$59:$H$59,0))*고양시_Modal_split!F$3 * 0.01</f>
        <v>4.2673589905384127E-2</v>
      </c>
      <c r="BG60" s="207">
        <f>INDEX($A$59:$H$60,MATCH($L60,$B$59:$B$60,0),MATCH($BC$58,$A$59:$H$59,0))*고양시_Modal_split!G$3 * 0.01</f>
        <v>4.2813198160254525E-3</v>
      </c>
      <c r="BH60" s="207">
        <f>INDEX($A$59:$H$60,MATCH($L60,$B$59:$B$60,0),MATCH($BC$58,$A$59:$H$59,0))*고양시_Modal_split!H$3 * 0.01</f>
        <v>4.6536084956798401E-5</v>
      </c>
      <c r="BI60" s="207">
        <f>INDEX($A$59:$H$60,MATCH($L60,$B$59:$B$60,0),MATCH($BC$58,$A$59:$H$59,0))*고양시_Modal_split!I$3 * 0.01</f>
        <v>1.2937031617989954E-2</v>
      </c>
      <c r="BJ60" s="207">
        <f>INDEX($A$59:$H$60,MATCH($L60,$B$59:$B$60,0),MATCH($BC$58,$A$59:$H$59,0))*고양시_Modal_split!J$3 * 0.01</f>
        <v>0.14165584260849431</v>
      </c>
      <c r="BK60" s="207">
        <f>INDEX($A$59:$H$60,MATCH($L60,$B$59:$B$60,0),MATCH($BC$58,$A$59:$H$59,0))*고양시_Modal_split!K$3 * 0.01</f>
        <v>6.9804127435197597E-4</v>
      </c>
      <c r="BL60" s="207">
        <f>INDEX($A$59:$H$60,MATCH($L60,$B$59:$B$60,0),MATCH($BC$58,$A$59:$H$59,0))*고양시_Modal_split!L$3 * 0.01</f>
        <v>1.4053897656953116E-2</v>
      </c>
      <c r="BM60" s="207">
        <f>INDEX($A$59:$H$60,MATCH($L60,$B$59:$B$60,0),MATCH($BC$58,$A$59:$H$59,0))*고양시_Modal_split!M$3 * 0.01</f>
        <v>1.0703299540063631E-3</v>
      </c>
      <c r="BN60" s="207">
        <f>INDEX($A$59:$H$60,MATCH($L60,$B$59:$B$60,0),MATCH($BC$58,$A$59:$H$59,0))*고양시_Modal_split!N$3 * 0.01</f>
        <v>4.6536084956798395E-4</v>
      </c>
      <c r="BO60" s="207">
        <f>INDEX($A$59:$H$60,MATCH($L60,$B$59:$B$60,0),MATCH($BC$58,$A$59:$H$59,0))*고양시_Modal_split!O$3 * 0.01</f>
        <v>8.376495292223711E-4</v>
      </c>
      <c r="BP60" s="207">
        <f>INDEX($A$59:$H$60,MATCH($L60,$B$59:$B$60,0),MATCH($BC$58,$A$59:$H$59,0))*고양시_Modal_split!P$3 * 0.01</f>
        <v>0.46536084956798396</v>
      </c>
      <c r="BQ60" s="207">
        <f>INDEX($A$59:$H$60,MATCH($L60,$B$59:$B$60,0),MATCH($BQ$58,$A$59:$H$59,0))*고양시_Modal_split!C$3 * 0.01</f>
        <v>4.9224836532079912E-3</v>
      </c>
      <c r="BR60" s="207">
        <f>INDEX($A$59:$H$60,MATCH($L60,$B$59:$B$60,0),MATCH($BQ$58,$A$59:$H$59,0))*고양시_Modal_split!D$3 * 0.01</f>
        <v>0.82680145075132805</v>
      </c>
      <c r="BS60" s="207">
        <f>INDEX($A$59:$H$60,MATCH($L60,$B$59:$B$60,0),MATCH($BQ$58,$A$59:$H$59,0))*고양시_Modal_split!E$3 * 0.01</f>
        <v>0.10003189995269096</v>
      </c>
      <c r="BT60" s="207">
        <f>INDEX($A$59:$H$60,MATCH($L60,$B$59:$B$60,0),MATCH($BQ$58,$A$59:$H$59,0))*고양시_Modal_split!F$3 * 0.01</f>
        <v>0.16121133964256171</v>
      </c>
      <c r="BU60" s="207">
        <f>INDEX($A$59:$H$60,MATCH($L60,$B$59:$B$60,0),MATCH($BQ$58,$A$59:$H$59,0))*고양시_Modal_split!G$3 * 0.01</f>
        <v>1.6173874860540543E-2</v>
      </c>
      <c r="BV60" s="207">
        <f>INDEX($A$59:$H$60,MATCH($L60,$B$59:$B$60,0),MATCH($BQ$58,$A$59:$H$59,0))*고양시_Modal_split!H$3 * 0.01</f>
        <v>1.7580298761457112E-4</v>
      </c>
      <c r="BW60" s="207">
        <f>INDEX($A$59:$H$60,MATCH($L60,$B$59:$B$60,0),MATCH($BQ$58,$A$59:$H$59,0))*고양시_Modal_split!I$3 * 0.01</f>
        <v>4.8873230556850764E-2</v>
      </c>
      <c r="BX60" s="207">
        <f>INDEX($A$59:$H$60,MATCH($L60,$B$59:$B$60,0),MATCH($BQ$58,$A$59:$H$59,0))*고양시_Modal_split!J$3 * 0.01</f>
        <v>0.53514429429875454</v>
      </c>
      <c r="BY60" s="207">
        <f>INDEX($A$59:$H$60,MATCH($L60,$B$59:$B$60,0),MATCH($BQ$58,$A$59:$H$59,0))*고양시_Modal_split!K$3 * 0.01</f>
        <v>2.6370448142185665E-3</v>
      </c>
      <c r="BZ60" s="207">
        <f>INDEX($A$59:$H$60,MATCH($L60,$B$59:$B$60,0),MATCH($BQ$58,$A$59:$H$59,0))*고양시_Modal_split!L$3 * 0.01</f>
        <v>5.309250225960048E-2</v>
      </c>
      <c r="CA60" s="207">
        <f>INDEX($A$59:$H$60,MATCH($L60,$B$59:$B$60,0),MATCH($BQ$58,$A$59:$H$59,0))*고양시_Modal_split!M$3 * 0.01</f>
        <v>4.0434687151351357E-3</v>
      </c>
      <c r="CB60" s="207">
        <f>INDEX($A$59:$H$60,MATCH($L60,$B$59:$B$60,0),MATCH($BQ$58,$A$59:$H$59,0))*고양시_Modal_split!N$3 * 0.01</f>
        <v>1.7580298761457115E-3</v>
      </c>
      <c r="CC60" s="207">
        <f>INDEX($A$59:$H$60,MATCH($L60,$B$59:$B$60,0),MATCH($BQ$58,$A$59:$H$59,0))*고양시_Modal_split!O$3 * 0.01</f>
        <v>3.1644537770622802E-3</v>
      </c>
      <c r="CD60" s="207">
        <f>INDEX($A$59:$H$60,MATCH($L60,$B$59:$B$60,0),MATCH($BQ$58,$A$59:$H$59,0))*고양시_Modal_split!P$3 * 0.01</f>
        <v>1.7580298761457112</v>
      </c>
      <c r="CE60" s="304">
        <f>M60+AA60+AO60+BC60+BQ60</f>
        <v>17.285735685032773</v>
      </c>
      <c r="CF60" s="304">
        <f t="shared" ref="CF60:CR60" si="6">N60+AB60+AP60+BD60+BR60</f>
        <v>2903.3862473824702</v>
      </c>
      <c r="CG60" s="304">
        <f t="shared" si="6"/>
        <v>351.2708430279875</v>
      </c>
      <c r="CH60" s="304">
        <f t="shared" si="6"/>
        <v>566.10784368482337</v>
      </c>
      <c r="CI60" s="304">
        <f t="shared" si="6"/>
        <v>56.79598867939341</v>
      </c>
      <c r="CJ60" s="304">
        <f t="shared" si="6"/>
        <v>0.6173477030368848</v>
      </c>
      <c r="CK60" s="304">
        <f t="shared" si="6"/>
        <v>171.62266144425399</v>
      </c>
      <c r="CL60" s="304">
        <f t="shared" si="6"/>
        <v>1879.2064080442776</v>
      </c>
      <c r="CM60" s="304">
        <f t="shared" si="6"/>
        <v>9.2602155455532742</v>
      </c>
      <c r="CN60" s="304">
        <f t="shared" si="6"/>
        <v>186.43900631713922</v>
      </c>
      <c r="CO60" s="304">
        <f t="shared" si="6"/>
        <v>14.198997169848353</v>
      </c>
      <c r="CP60" s="304">
        <f t="shared" si="6"/>
        <v>6.1734770303688498</v>
      </c>
      <c r="CQ60" s="304">
        <f t="shared" si="6"/>
        <v>11.112258654663927</v>
      </c>
      <c r="CR60" s="304">
        <f t="shared" si="6"/>
        <v>6173.4770303688492</v>
      </c>
      <c r="CS60" s="305">
        <f>H60-CR60</f>
        <v>0</v>
      </c>
      <c r="CV60" s="265"/>
      <c r="CW60" s="265" t="s">
        <v>743</v>
      </c>
      <c r="CX60" s="267">
        <f>INDEX($M$58:$Z$60,MATCH($CW60,$L$58:$L$60,0),MATCH(CX$59,$M$59:$Z$59,0))/INDEX(고양시_재차인원!$D$4:$H$35,MATCH("고양시",고양시_재차인원!$B$4:$B$35,0),MATCH($CX$58,고양시_재차인원!$D$4:$H$4,0))</f>
        <v>299.49840366764153</v>
      </c>
      <c r="CY60" s="267">
        <f>INDEX($M$58:$Z$60,MATCH($CW60,$L$58:$L$60,0),MATCH(CY$59,$M$59:$Z$59,0))/INDEX(고양시_재차인원!$K$4:$O$20,MATCH("경기도",고양시_재차인원!$K$4:$K$20,0),MATCH(CY$59,고양시_재차인원!$K$4:$O$4,0))</f>
        <v>2.4773986179386105E-3</v>
      </c>
      <c r="CZ60" s="267">
        <f>INDEX($M$58:$Z$60,MATCH($CW60,$L$58:$L$60,0),MATCH(CZ$59,$M$59:$Z$59,0))/INDEX(고양시_재차인원!$K$4:$O$20,MATCH("경기도",고양시_재차인원!$K$4:$K$20,0),MATCH(CZ$59,고양시_재차인원!$K$4:$O$4,0))</f>
        <v>0.68871681578693367</v>
      </c>
      <c r="DA60" s="267">
        <f>INDEX($M$58:$Z$60,MATCH($CW60,$L$58:$L$60,0),MATCH(DA$59,$M$59:$Z$59,0))/INDEX(고양시_재차인원!$D$4:$H$35,MATCH("고양시",고양시_재차인원!$B$4:$B$35,0),MATCH($CX$58,고양시_재차인원!$D$4:$H$4,0))</f>
        <v>19.232089710318466</v>
      </c>
      <c r="DB60" s="267">
        <f>INDEX($AA$58:$AN$60,MATCH($CW60,$L$58:$L$60,0),MATCH(DB$59,$AA$59:$AN$59,0))/INDEX(고양시_재차인원!$D$4:$H$35,MATCH("고양시",고양시_재차인원!$B$4:$B$35,0),MATCH($DB$58,고양시_재차인원!$D$4:$H$4,0))</f>
        <v>1721.7269259179188</v>
      </c>
      <c r="DC60" s="267">
        <f>INDEX($AA$58:$AN$60,MATCH($CW60,$L$58:$L$60,0),MATCH(DC$59,$AA$59:$AN$59,0))/INDEX(고양시_재차인원!$K$4:$O$20,MATCH("경기도",고양시_재차인원!$K$4:$K$20,0),MATCH(DC$59,고양시_재차인원!$K$4:$O$4,0))</f>
        <v>1.7929440628448014E-2</v>
      </c>
      <c r="DD60" s="267">
        <f>INDEX($AA$58:$AN$60,MATCH($CW60,$L$58:$L$60,0),MATCH(DD$59,$AA$59:$AN$59,0))/INDEX(고양시_재차인원!$K$4:$O$20,MATCH("경기도",고양시_재차인원!$K$4:$K$20,0),MATCH(DD$59,고양시_재차인원!$K$4:$O$4,0))</f>
        <v>4.9843844947085474</v>
      </c>
      <c r="DE60" s="267">
        <f>INDEX($AA$58:$AN$60,MATCH($CW60,$L$58:$L$60,0),MATCH(DE$59,$AA$59:$AN$59,0))/INDEX(고양시_재차인원!$D$4:$H$35,MATCH("고양시",고양시_재차인원!$B$4:$B$35,0),MATCH($DB$58,고양시_재차인원!$D$4:$H$4,0))</f>
        <v>110.5595431909869</v>
      </c>
      <c r="DF60" s="267">
        <f>INDEX($AO$58:$BB$60,MATCH($CW60,$L$15:$L$17,0),MATCH(DF$59,$AO$59:$BB$59,0))/INDEX(고양시_재차인원!$D$4:$H$35,MATCH("고양시",고양시_재차인원!$B$4:$B$35,0),MATCH($DF$58,고양시_재차인원!$D$4:$H$4,0))</f>
        <v>107.12877620934061</v>
      </c>
      <c r="DG60" s="267">
        <f>INDEX($AO$58:$BB$60,MATCH($CW60,$L$15:$L$17,0),MATCH(DG$59,$AO$59:$BB$59,0))/INDEX(고양시_재차인원!$K$4:$O$20,MATCH("경기도",고양시_재차인원!$K$4:$K$20,0),MATCH(DG$59,고양시_재차인원!$K$4:$O$4,0))</f>
        <v>1.0285676297618136E-3</v>
      </c>
      <c r="DH60" s="267">
        <f>INDEX($AO$58:$BB$60,MATCH($CW60,$L$15:$L$17,0),MATCH(DH$59,$AO$59:$BB$59,0))/INDEX(고양시_재차인원!$K$4:$O$20,MATCH("경기도",고양시_재차인원!$K$4:$K$20,0),MATCH(DH$59,고양시_재차인원!$K$4:$O$4,0))</f>
        <v>0.2859418010737842</v>
      </c>
      <c r="DI60" s="267">
        <f>INDEX($AO$58:$BB$60,MATCH($CW60,$L$15:$L$17,0),MATCH(DI$59,$AO$59:$BB$59,0))/INDEX(고양시_재차인원!$D$4:$H$35,MATCH("고양시",고양시_재차인원!$B$4:$B$35,0),MATCH($DF$58,고양시_재차인원!$D$4:$H$4,0))</f>
        <v>6.879202724903438</v>
      </c>
      <c r="DJ60" s="267">
        <f>INDEX($BC$58:$BP$60,MATCH($CW60,$L$58:$L$60,0),MATCH(DJ$59,$BC$59:$BP$59,0))/INDEX(고양시_재차인원!$D$4:$H$35,MATCH("고양시",고양시_재차인원!$B$4:$B$35,0),MATCH($DJ$58,고양시_재차인원!$D$4:$H$4,0))</f>
        <v>0.1609258879057521</v>
      </c>
      <c r="DK60" s="267">
        <f>INDEX($BC$58:$BP$60,MATCH($CW60,$L$58:$L$60,0),MATCH(DK$59,$BC$59:$BP$59,0))/INDEX(고양시_재차인원!$K$4:$O$20,MATCH("경기도",고양시_재차인원!$K$4:$K$20,0),MATCH(DK$59,고양시_재차인원!$K$4:$O$4,0))</f>
        <v>1.6163975323653491E-6</v>
      </c>
      <c r="DL60" s="267">
        <f>INDEX($BC$58:$BP$60,MATCH($CW60,$L$58:$L$60,0),MATCH(DL$59,$BC$59:$BP$59,0))/INDEX(고양시_재차인원!$K$4:$O$20,MATCH("경기도",고양시_재차인원!$K$4:$K$20,0),MATCH(DL$59,고양시_재차인원!$K$4:$O$4,0))</f>
        <v>4.4935851399756702E-4</v>
      </c>
      <c r="DM60" s="267">
        <f>INDEX($BC$58:$BP$60,MATCH($CW60,$L$58:$L$60,0),MATCH(DM$59,$BC$59:$BP$59,0))/INDEX(고양시_재차인원!$D$4:$H$35,MATCH("고양시",고양시_재차인원!$B$4:$B$35,0),MATCH($DJ$58,고양시_재차인원!$D$4:$H$4,0))</f>
        <v>1.0333748277171408E-2</v>
      </c>
      <c r="DN60" s="267">
        <f>INDEX($BQ$58:$CD$60,MATCH($CW60,$L$58:$L$60,0),MATCH(DN$59,$BQ$59:$CD$59,0))/INDEX(고양시_재차인원!$D$4:$H$35,MATCH("고양시",고양시_재차인원!$B$4:$B$35,0),MATCH($DN$58,고양시_재차인원!$D$4:$H$4,0))</f>
        <v>0.65619162758041905</v>
      </c>
      <c r="DO60" s="267">
        <f>INDEX($BQ$58:$CD$60,MATCH($CW60,$L$58:$L$60,0),MATCH(DO$59,$BQ$59:$CD$59,0))/INDEX(고양시_재차인원!$K$4:$O$20,MATCH("경기도",고양시_재차인원!$K$4:$K$20,0),MATCH(DO$59,고양시_재차인원!$K$4:$O$4,0))</f>
        <v>6.1063906778246311E-6</v>
      </c>
      <c r="DP60" s="267">
        <f>INDEX($BQ$58:$CD$60,MATCH($CW60,$L$58:$L$60,0),MATCH(DP$59,$BQ$59:$CD$59,0))/INDEX(고양시_재차인원!$K$4:$O$20,MATCH("경기도",고양시_재차인원!$K$4:$K$20,0),MATCH(DP$59,고양시_재차인원!$K$4:$O$4,0))</f>
        <v>1.6975766084352472E-3</v>
      </c>
      <c r="DQ60" s="267">
        <f>INDEX($BQ$58:$CD$60,MATCH($CW60,$L$58:$L$60,0),MATCH(DQ$59,$BQ$59:$CD$59,0))/INDEX(고양시_재차인원!$D$4:$H$35,MATCH("고양시",고양시_재차인원!$B$4:$B$35,0),MATCH($DN$58,고양시_재차인원!$D$4:$H$4,0))</f>
        <v>4.2136906555238475E-2</v>
      </c>
      <c r="DR60" s="270">
        <f>CX60+DB60+DF60+DJ60+DN60</f>
        <v>2129.1712233103872</v>
      </c>
      <c r="DS60" s="270">
        <f t="shared" ref="DS60:DU60" si="7">CY60+DC60+DG60+DK60+DO60</f>
        <v>2.1443129664358625E-2</v>
      </c>
      <c r="DT60" s="270">
        <f>CZ60+DD60+DH60+DL60+DP60</f>
        <v>5.9611900466916978</v>
      </c>
      <c r="DU60" s="270">
        <f t="shared" si="7"/>
        <v>136.72330628104123</v>
      </c>
      <c r="DW60" s="278"/>
      <c r="DX60" s="278" t="s">
        <v>743</v>
      </c>
      <c r="DY60" s="281">
        <f>DR60+DU60</f>
        <v>2265.8945295914282</v>
      </c>
      <c r="DZ60" s="281">
        <f>DS60+DT60</f>
        <v>5.9826331763560567</v>
      </c>
      <c r="EB60" s="278"/>
      <c r="EC60" s="278" t="s">
        <v>743</v>
      </c>
      <c r="ED60" s="281">
        <f>DY60</f>
        <v>2265.8945295914282</v>
      </c>
      <c r="EE60" s="281">
        <f t="shared" ref="EE60" si="8">DZ60</f>
        <v>5.9826331763560567</v>
      </c>
      <c r="EL60" s="420" t="s">
        <v>728</v>
      </c>
      <c r="EM60" s="420"/>
      <c r="EN60" s="420"/>
      <c r="EO60" s="420"/>
      <c r="EP60" s="421">
        <v>849201</v>
      </c>
      <c r="EQ60" s="422">
        <f>ED67</f>
        <v>2265.8945295914282</v>
      </c>
      <c r="ER60" s="422">
        <f>EE67</f>
        <v>5.9826331763560567</v>
      </c>
      <c r="ES60">
        <v>0</v>
      </c>
      <c r="EV60" s="306" t="s">
        <v>728</v>
      </c>
      <c r="EW60" s="306"/>
      <c r="EX60" s="306"/>
      <c r="EY60" s="306"/>
      <c r="EZ60" s="307">
        <v>849301</v>
      </c>
      <c r="FA60" s="308">
        <f>EQ60*$EU$10</f>
        <v>2265.8945295914282</v>
      </c>
      <c r="FB60" s="308">
        <f t="shared" ref="FB60" si="9">ER60*$EU$10</f>
        <v>5.9826331763560567</v>
      </c>
    </row>
    <row r="61" spans="1:164">
      <c r="A61" s="205"/>
      <c r="B61" s="205"/>
      <c r="C61" s="201"/>
      <c r="D61" s="201"/>
      <c r="E61" s="201"/>
      <c r="F61" s="201"/>
      <c r="G61" s="201"/>
      <c r="H61" s="201"/>
      <c r="J61" s="230"/>
      <c r="K61" s="206"/>
      <c r="L61" s="206"/>
      <c r="M61" s="206"/>
      <c r="N61" s="206"/>
      <c r="O61" s="206"/>
      <c r="P61" s="206"/>
      <c r="Q61" s="206"/>
      <c r="R61" s="206"/>
      <c r="S61" s="206"/>
      <c r="T61" s="206"/>
      <c r="U61" s="206"/>
      <c r="V61" s="206"/>
      <c r="W61" s="206"/>
      <c r="X61" s="206"/>
      <c r="Y61" s="206"/>
      <c r="Z61" s="209"/>
      <c r="AA61" s="207"/>
      <c r="AB61" s="207"/>
      <c r="AC61" s="207"/>
      <c r="AD61" s="207"/>
      <c r="AE61" s="207"/>
      <c r="AF61" s="207"/>
      <c r="AG61" s="207"/>
      <c r="AH61" s="207"/>
      <c r="AI61" s="207"/>
      <c r="AJ61" s="207"/>
      <c r="AK61" s="207"/>
      <c r="AL61" s="207"/>
      <c r="AM61" s="207"/>
      <c r="AN61" s="207"/>
      <c r="AO61" s="303"/>
      <c r="AP61" s="303"/>
      <c r="AQ61" s="303"/>
      <c r="AR61" s="303"/>
      <c r="AS61" s="303"/>
      <c r="AT61" s="303"/>
      <c r="AU61" s="303"/>
      <c r="AV61" s="303"/>
      <c r="AW61" s="303"/>
      <c r="AX61" s="303"/>
      <c r="AY61" s="303"/>
      <c r="AZ61" s="303"/>
      <c r="BA61" s="207"/>
      <c r="BB61" s="207"/>
      <c r="BC61" s="207"/>
      <c r="BD61" s="207"/>
      <c r="BE61" s="207"/>
      <c r="BF61" s="207"/>
      <c r="BG61" s="207"/>
      <c r="BH61" s="207"/>
      <c r="BI61" s="207"/>
      <c r="BJ61" s="207"/>
      <c r="BK61" s="207"/>
      <c r="BL61" s="207"/>
      <c r="BM61" s="207"/>
      <c r="BN61" s="207"/>
      <c r="BO61" s="207"/>
      <c r="BP61" s="207"/>
      <c r="BQ61" s="207"/>
      <c r="BR61" s="207"/>
      <c r="BS61" s="207"/>
      <c r="BT61" s="207"/>
      <c r="BU61" s="207"/>
      <c r="BV61" s="207"/>
      <c r="BW61" s="207"/>
      <c r="BX61" s="207"/>
      <c r="BY61" s="207"/>
      <c r="BZ61" s="207"/>
      <c r="CA61" s="207"/>
      <c r="CB61" s="207"/>
      <c r="CC61" s="207"/>
      <c r="CD61" s="207"/>
      <c r="CE61" s="304"/>
      <c r="CF61" s="304"/>
      <c r="CG61" s="304"/>
      <c r="CH61" s="304"/>
      <c r="CI61" s="304"/>
      <c r="CJ61" s="304"/>
      <c r="CK61" s="304"/>
      <c r="CL61" s="304"/>
      <c r="CM61" s="304"/>
      <c r="CN61" s="304"/>
      <c r="CO61" s="304"/>
      <c r="CP61" s="304"/>
      <c r="CQ61" s="304"/>
      <c r="CR61" s="304"/>
      <c r="CS61" s="305"/>
      <c r="CV61" s="265"/>
      <c r="CW61" s="265"/>
      <c r="CX61" s="267"/>
      <c r="CY61" s="267"/>
      <c r="CZ61" s="267"/>
      <c r="DA61" s="267"/>
      <c r="DB61" s="267"/>
      <c r="DC61" s="267"/>
      <c r="DD61" s="267"/>
      <c r="DE61" s="267"/>
      <c r="DF61" s="267"/>
      <c r="DG61" s="267"/>
      <c r="DH61" s="267"/>
      <c r="DI61" s="267"/>
      <c r="DJ61" s="267"/>
      <c r="DK61" s="267"/>
      <c r="DL61" s="267"/>
      <c r="DM61" s="267"/>
      <c r="DN61" s="267"/>
      <c r="DO61" s="267"/>
      <c r="DP61" s="267"/>
      <c r="DQ61" s="267"/>
      <c r="DR61" s="270"/>
      <c r="DS61" s="270"/>
      <c r="DT61" s="270"/>
      <c r="DU61" s="270"/>
      <c r="DW61" s="278"/>
      <c r="DX61" s="278"/>
      <c r="DY61" s="281"/>
      <c r="DZ61" s="281"/>
      <c r="EB61" s="278"/>
      <c r="EC61" s="278"/>
      <c r="ED61" s="281"/>
      <c r="EE61" s="281"/>
      <c r="FH61" s="277"/>
    </row>
    <row r="62" spans="1:164">
      <c r="A62" s="205"/>
      <c r="B62" s="205"/>
      <c r="C62" s="201"/>
      <c r="D62" s="201"/>
      <c r="E62" s="201"/>
      <c r="F62" s="201"/>
      <c r="G62" s="201"/>
      <c r="H62" s="201"/>
      <c r="J62" s="230"/>
      <c r="K62" s="206"/>
      <c r="L62" s="206"/>
      <c r="M62" s="206"/>
      <c r="N62" s="206"/>
      <c r="O62" s="206"/>
      <c r="P62" s="206"/>
      <c r="Q62" s="206"/>
      <c r="R62" s="206"/>
      <c r="S62" s="206"/>
      <c r="T62" s="206"/>
      <c r="U62" s="206"/>
      <c r="V62" s="206"/>
      <c r="W62" s="206"/>
      <c r="X62" s="206"/>
      <c r="Y62" s="206"/>
      <c r="Z62" s="209"/>
      <c r="AA62" s="207"/>
      <c r="AB62" s="207"/>
      <c r="AC62" s="207"/>
      <c r="AD62" s="207"/>
      <c r="AE62" s="207"/>
      <c r="AF62" s="207"/>
      <c r="AG62" s="207"/>
      <c r="AH62" s="207"/>
      <c r="AI62" s="207"/>
      <c r="AJ62" s="207"/>
      <c r="AK62" s="207"/>
      <c r="AL62" s="207"/>
      <c r="AM62" s="207"/>
      <c r="AN62" s="207"/>
      <c r="AO62" s="303"/>
      <c r="AP62" s="303"/>
      <c r="AQ62" s="303"/>
      <c r="AR62" s="303"/>
      <c r="AS62" s="303"/>
      <c r="AT62" s="303"/>
      <c r="AU62" s="303"/>
      <c r="AV62" s="303"/>
      <c r="AW62" s="303"/>
      <c r="AX62" s="303"/>
      <c r="AY62" s="303"/>
      <c r="AZ62" s="303"/>
      <c r="BA62" s="207"/>
      <c r="BB62" s="207"/>
      <c r="BC62" s="207"/>
      <c r="BD62" s="207"/>
      <c r="BE62" s="207"/>
      <c r="BF62" s="207"/>
      <c r="BG62" s="207"/>
      <c r="BH62" s="207"/>
      <c r="BI62" s="207"/>
      <c r="BJ62" s="207"/>
      <c r="BK62" s="207"/>
      <c r="BL62" s="207"/>
      <c r="BM62" s="207"/>
      <c r="BN62" s="207"/>
      <c r="BO62" s="207"/>
      <c r="BP62" s="207"/>
      <c r="BQ62" s="207"/>
      <c r="BR62" s="207"/>
      <c r="BS62" s="207"/>
      <c r="BT62" s="207"/>
      <c r="BU62" s="207"/>
      <c r="BV62" s="207"/>
      <c r="BW62" s="207"/>
      <c r="BX62" s="207"/>
      <c r="BY62" s="207"/>
      <c r="BZ62" s="207"/>
      <c r="CA62" s="207"/>
      <c r="CB62" s="207"/>
      <c r="CC62" s="207"/>
      <c r="CD62" s="207"/>
      <c r="CE62" s="304"/>
      <c r="CF62" s="304"/>
      <c r="CG62" s="304"/>
      <c r="CH62" s="304"/>
      <c r="CI62" s="304"/>
      <c r="CJ62" s="304"/>
      <c r="CK62" s="304"/>
      <c r="CL62" s="304"/>
      <c r="CM62" s="304"/>
      <c r="CN62" s="304"/>
      <c r="CO62" s="304"/>
      <c r="CP62" s="304"/>
      <c r="CQ62" s="304"/>
      <c r="CR62" s="304"/>
      <c r="CS62" s="305"/>
      <c r="CV62" s="265"/>
      <c r="CW62" s="265"/>
      <c r="CX62" s="267"/>
      <c r="CY62" s="267"/>
      <c r="CZ62" s="267"/>
      <c r="DA62" s="267"/>
      <c r="DB62" s="267"/>
      <c r="DC62" s="267"/>
      <c r="DD62" s="267"/>
      <c r="DE62" s="267"/>
      <c r="DF62" s="267"/>
      <c r="DG62" s="267"/>
      <c r="DH62" s="267"/>
      <c r="DI62" s="267"/>
      <c r="DJ62" s="267"/>
      <c r="DK62" s="267"/>
      <c r="DL62" s="267"/>
      <c r="DM62" s="267"/>
      <c r="DN62" s="267"/>
      <c r="DO62" s="267"/>
      <c r="DP62" s="267"/>
      <c r="DQ62" s="267"/>
      <c r="DR62" s="270"/>
      <c r="DS62" s="270"/>
      <c r="DT62" s="270"/>
      <c r="DU62" s="270"/>
      <c r="DW62" s="278"/>
      <c r="DX62" s="278"/>
      <c r="DY62" s="281"/>
      <c r="DZ62" s="281"/>
      <c r="EB62" s="278"/>
      <c r="EC62" s="278"/>
      <c r="ED62" s="281"/>
      <c r="EE62" s="281"/>
      <c r="FH62" s="277"/>
    </row>
    <row r="63" spans="1:164">
      <c r="A63" s="205"/>
      <c r="B63" s="205"/>
      <c r="C63" s="201"/>
      <c r="D63" s="201"/>
      <c r="E63" s="201"/>
      <c r="F63" s="201"/>
      <c r="G63" s="201"/>
      <c r="H63" s="201"/>
      <c r="J63" s="230"/>
      <c r="K63" s="206"/>
      <c r="L63" s="206"/>
      <c r="M63" s="206"/>
      <c r="N63" s="206"/>
      <c r="O63" s="206"/>
      <c r="P63" s="206"/>
      <c r="Q63" s="206"/>
      <c r="R63" s="206"/>
      <c r="S63" s="206"/>
      <c r="T63" s="206"/>
      <c r="U63" s="206"/>
      <c r="V63" s="206"/>
      <c r="W63" s="206"/>
      <c r="X63" s="206"/>
      <c r="Y63" s="206"/>
      <c r="Z63" s="209"/>
      <c r="AA63" s="207"/>
      <c r="AB63" s="207"/>
      <c r="AC63" s="207"/>
      <c r="AD63" s="207"/>
      <c r="AE63" s="207"/>
      <c r="AF63" s="207"/>
      <c r="AG63" s="207"/>
      <c r="AH63" s="207"/>
      <c r="AI63" s="207"/>
      <c r="AJ63" s="207"/>
      <c r="AK63" s="207"/>
      <c r="AL63" s="207"/>
      <c r="AM63" s="207"/>
      <c r="AN63" s="207"/>
      <c r="AO63" s="303"/>
      <c r="AP63" s="303"/>
      <c r="AQ63" s="303"/>
      <c r="AR63" s="303"/>
      <c r="AS63" s="303"/>
      <c r="AT63" s="303"/>
      <c r="AU63" s="303"/>
      <c r="AV63" s="303"/>
      <c r="AW63" s="303"/>
      <c r="AX63" s="303"/>
      <c r="AY63" s="303"/>
      <c r="AZ63" s="303"/>
      <c r="BA63" s="207"/>
      <c r="BB63" s="207"/>
      <c r="BC63" s="207"/>
      <c r="BD63" s="207"/>
      <c r="BE63" s="207"/>
      <c r="BF63" s="207"/>
      <c r="BG63" s="207"/>
      <c r="BH63" s="207"/>
      <c r="BI63" s="207"/>
      <c r="BJ63" s="207"/>
      <c r="BK63" s="207"/>
      <c r="BL63" s="207"/>
      <c r="BM63" s="207"/>
      <c r="BN63" s="207"/>
      <c r="BO63" s="207"/>
      <c r="BP63" s="207"/>
      <c r="BQ63" s="207"/>
      <c r="BR63" s="207"/>
      <c r="BS63" s="207"/>
      <c r="BT63" s="207"/>
      <c r="BU63" s="207"/>
      <c r="BV63" s="207"/>
      <c r="BW63" s="207"/>
      <c r="BX63" s="207"/>
      <c r="BY63" s="207"/>
      <c r="BZ63" s="207"/>
      <c r="CA63" s="207"/>
      <c r="CB63" s="207"/>
      <c r="CC63" s="207"/>
      <c r="CD63" s="207"/>
      <c r="CE63" s="304"/>
      <c r="CF63" s="304"/>
      <c r="CG63" s="304"/>
      <c r="CH63" s="304"/>
      <c r="CI63" s="304"/>
      <c r="CJ63" s="304"/>
      <c r="CK63" s="304"/>
      <c r="CL63" s="304"/>
      <c r="CM63" s="304"/>
      <c r="CN63" s="304"/>
      <c r="CO63" s="304"/>
      <c r="CP63" s="304"/>
      <c r="CQ63" s="304"/>
      <c r="CR63" s="304"/>
      <c r="CS63" s="305"/>
      <c r="CV63" s="265"/>
      <c r="CW63" s="265"/>
      <c r="CX63" s="267"/>
      <c r="CY63" s="267"/>
      <c r="CZ63" s="267"/>
      <c r="DA63" s="267"/>
      <c r="DB63" s="267"/>
      <c r="DC63" s="267"/>
      <c r="DD63" s="267"/>
      <c r="DE63" s="267"/>
      <c r="DF63" s="267"/>
      <c r="DG63" s="267"/>
      <c r="DH63" s="267"/>
      <c r="DI63" s="267"/>
      <c r="DJ63" s="267"/>
      <c r="DK63" s="267"/>
      <c r="DL63" s="267"/>
      <c r="DM63" s="267"/>
      <c r="DN63" s="267"/>
      <c r="DO63" s="267"/>
      <c r="DP63" s="267"/>
      <c r="DQ63" s="267"/>
      <c r="DR63" s="270"/>
      <c r="DS63" s="270"/>
      <c r="DT63" s="270"/>
      <c r="DU63" s="270"/>
      <c r="DW63" s="278"/>
      <c r="DX63" s="278"/>
      <c r="DY63" s="281"/>
      <c r="DZ63" s="281"/>
      <c r="EB63" s="278"/>
      <c r="EC63" s="278"/>
      <c r="ED63" s="281"/>
      <c r="EE63" s="281"/>
      <c r="FH63" s="277"/>
    </row>
    <row r="64" spans="1:164">
      <c r="A64" s="205"/>
      <c r="B64" s="205"/>
      <c r="C64" s="201"/>
      <c r="D64" s="201"/>
      <c r="E64" s="201"/>
      <c r="F64" s="201"/>
      <c r="G64" s="201"/>
      <c r="H64" s="201"/>
      <c r="J64" s="230"/>
      <c r="K64" s="206"/>
      <c r="L64" s="206"/>
      <c r="M64" s="206"/>
      <c r="N64" s="206"/>
      <c r="O64" s="206"/>
      <c r="P64" s="206"/>
      <c r="Q64" s="206"/>
      <c r="R64" s="206"/>
      <c r="S64" s="206"/>
      <c r="T64" s="206"/>
      <c r="U64" s="206"/>
      <c r="V64" s="206"/>
      <c r="W64" s="206"/>
      <c r="X64" s="206"/>
      <c r="Y64" s="206"/>
      <c r="Z64" s="209"/>
      <c r="AA64" s="207"/>
      <c r="AB64" s="207"/>
      <c r="AC64" s="207"/>
      <c r="AD64" s="207"/>
      <c r="AE64" s="207"/>
      <c r="AF64" s="207"/>
      <c r="AG64" s="207"/>
      <c r="AH64" s="207"/>
      <c r="AI64" s="207"/>
      <c r="AJ64" s="207"/>
      <c r="AK64" s="207"/>
      <c r="AL64" s="207"/>
      <c r="AM64" s="207"/>
      <c r="AN64" s="207"/>
      <c r="AO64" s="303"/>
      <c r="AP64" s="303"/>
      <c r="AQ64" s="303"/>
      <c r="AR64" s="303"/>
      <c r="AS64" s="303"/>
      <c r="AT64" s="303"/>
      <c r="AU64" s="303"/>
      <c r="AV64" s="303"/>
      <c r="AW64" s="303"/>
      <c r="AX64" s="303"/>
      <c r="AY64" s="303"/>
      <c r="AZ64" s="303"/>
      <c r="BA64" s="207"/>
      <c r="BB64" s="207"/>
      <c r="BC64" s="207"/>
      <c r="BD64" s="207"/>
      <c r="BE64" s="207"/>
      <c r="BF64" s="207"/>
      <c r="BG64" s="207"/>
      <c r="BH64" s="207"/>
      <c r="BI64" s="207"/>
      <c r="BJ64" s="207"/>
      <c r="BK64" s="207"/>
      <c r="BL64" s="207"/>
      <c r="BM64" s="207"/>
      <c r="BN64" s="207"/>
      <c r="BO64" s="207"/>
      <c r="BP64" s="207"/>
      <c r="BQ64" s="207"/>
      <c r="BR64" s="207"/>
      <c r="BS64" s="207"/>
      <c r="BT64" s="207"/>
      <c r="BU64" s="207"/>
      <c r="BV64" s="207"/>
      <c r="BW64" s="207"/>
      <c r="BX64" s="207"/>
      <c r="BY64" s="207"/>
      <c r="BZ64" s="207"/>
      <c r="CA64" s="207"/>
      <c r="CB64" s="207"/>
      <c r="CC64" s="207"/>
      <c r="CD64" s="207"/>
      <c r="CE64" s="304"/>
      <c r="CF64" s="304"/>
      <c r="CG64" s="304"/>
      <c r="CH64" s="304"/>
      <c r="CI64" s="304"/>
      <c r="CJ64" s="304"/>
      <c r="CK64" s="304"/>
      <c r="CL64" s="304"/>
      <c r="CM64" s="304"/>
      <c r="CN64" s="304"/>
      <c r="CO64" s="304"/>
      <c r="CP64" s="304"/>
      <c r="CQ64" s="304"/>
      <c r="CR64" s="304"/>
      <c r="CS64" s="305"/>
      <c r="CV64" s="265"/>
      <c r="CW64" s="265"/>
      <c r="CX64" s="267"/>
      <c r="CY64" s="267"/>
      <c r="CZ64" s="267"/>
      <c r="DA64" s="267"/>
      <c r="DB64" s="267"/>
      <c r="DC64" s="267"/>
      <c r="DD64" s="267"/>
      <c r="DE64" s="267"/>
      <c r="DF64" s="267"/>
      <c r="DG64" s="267"/>
      <c r="DH64" s="267"/>
      <c r="DI64" s="267"/>
      <c r="DJ64" s="267"/>
      <c r="DK64" s="267"/>
      <c r="DL64" s="267"/>
      <c r="DM64" s="267"/>
      <c r="DN64" s="267"/>
      <c r="DO64" s="267"/>
      <c r="DP64" s="267"/>
      <c r="DQ64" s="267"/>
      <c r="DR64" s="270"/>
      <c r="DS64" s="270"/>
      <c r="DT64" s="270"/>
      <c r="DU64" s="270"/>
      <c r="DW64" s="278"/>
      <c r="DX64" s="278"/>
      <c r="DY64" s="281"/>
      <c r="DZ64" s="281"/>
      <c r="EB64" s="278"/>
      <c r="EC64" s="278"/>
      <c r="ED64" s="281"/>
      <c r="EE64" s="281"/>
      <c r="FH64" s="277"/>
    </row>
    <row r="65" spans="1:164">
      <c r="A65" s="205"/>
      <c r="B65" s="205"/>
      <c r="C65" s="201"/>
      <c r="D65" s="201"/>
      <c r="E65" s="201"/>
      <c r="F65" s="201"/>
      <c r="G65" s="201"/>
      <c r="H65" s="201"/>
      <c r="K65" s="206"/>
      <c r="L65" s="206"/>
      <c r="M65" s="206"/>
      <c r="N65" s="206"/>
      <c r="O65" s="206"/>
      <c r="P65" s="206"/>
      <c r="Q65" s="206"/>
      <c r="R65" s="206"/>
      <c r="S65" s="206"/>
      <c r="T65" s="206"/>
      <c r="U65" s="206"/>
      <c r="V65" s="206"/>
      <c r="W65" s="206"/>
      <c r="X65" s="206"/>
      <c r="Y65" s="206"/>
      <c r="Z65" s="209"/>
      <c r="AA65" s="207"/>
      <c r="AB65" s="207"/>
      <c r="AC65" s="207"/>
      <c r="AD65" s="207"/>
      <c r="AE65" s="207"/>
      <c r="AF65" s="207"/>
      <c r="AG65" s="207"/>
      <c r="AH65" s="207"/>
      <c r="AI65" s="207"/>
      <c r="AJ65" s="207"/>
      <c r="AK65" s="207"/>
      <c r="AL65" s="207"/>
      <c r="AM65" s="207"/>
      <c r="AN65" s="207"/>
      <c r="AO65" s="303"/>
      <c r="AP65" s="303"/>
      <c r="AQ65" s="303"/>
      <c r="AR65" s="303"/>
      <c r="AS65" s="303"/>
      <c r="AT65" s="303"/>
      <c r="AU65" s="303"/>
      <c r="AV65" s="303"/>
      <c r="AW65" s="303"/>
      <c r="AX65" s="303"/>
      <c r="AY65" s="303"/>
      <c r="AZ65" s="303"/>
      <c r="BA65" s="207"/>
      <c r="BB65" s="207"/>
      <c r="BC65" s="207"/>
      <c r="BD65" s="207"/>
      <c r="BE65" s="207"/>
      <c r="BF65" s="207"/>
      <c r="BG65" s="207"/>
      <c r="BH65" s="207"/>
      <c r="BI65" s="207"/>
      <c r="BJ65" s="207"/>
      <c r="BK65" s="207"/>
      <c r="BL65" s="207"/>
      <c r="BM65" s="207"/>
      <c r="BN65" s="207"/>
      <c r="BO65" s="207"/>
      <c r="BP65" s="207"/>
      <c r="BQ65" s="207"/>
      <c r="BR65" s="207"/>
      <c r="BS65" s="207"/>
      <c r="BT65" s="207"/>
      <c r="BU65" s="207"/>
      <c r="BV65" s="207"/>
      <c r="BW65" s="207"/>
      <c r="BX65" s="207"/>
      <c r="BY65" s="207"/>
      <c r="BZ65" s="207"/>
      <c r="CA65" s="207"/>
      <c r="CB65" s="207"/>
      <c r="CC65" s="207"/>
      <c r="CD65" s="207"/>
      <c r="CE65" s="304"/>
      <c r="CF65" s="304"/>
      <c r="CG65" s="304"/>
      <c r="CH65" s="304"/>
      <c r="CI65" s="304"/>
      <c r="CJ65" s="304"/>
      <c r="CK65" s="304"/>
      <c r="CL65" s="304"/>
      <c r="CM65" s="304"/>
      <c r="CN65" s="304"/>
      <c r="CO65" s="304"/>
      <c r="CP65" s="304"/>
      <c r="CQ65" s="304"/>
      <c r="CR65" s="304"/>
      <c r="CS65" s="305"/>
      <c r="CV65" s="267"/>
      <c r="CW65" s="267"/>
      <c r="CX65" s="267"/>
      <c r="CY65" s="267"/>
      <c r="CZ65" s="267"/>
      <c r="DA65" s="267"/>
      <c r="DB65" s="267"/>
      <c r="DC65" s="267"/>
      <c r="DD65" s="267"/>
      <c r="DE65" s="267"/>
      <c r="DF65" s="267"/>
      <c r="DG65" s="267"/>
      <c r="DH65" s="267"/>
      <c r="DI65" s="267"/>
      <c r="DJ65" s="267"/>
      <c r="DK65" s="267"/>
      <c r="DL65" s="267"/>
      <c r="DM65" s="267"/>
      <c r="DN65" s="267"/>
      <c r="DO65" s="267"/>
      <c r="DP65" s="267"/>
      <c r="DQ65" s="267"/>
      <c r="DR65" s="270"/>
      <c r="DS65" s="270"/>
      <c r="DT65" s="270"/>
      <c r="DU65" s="270"/>
      <c r="DW65" s="278"/>
      <c r="DX65" s="278"/>
      <c r="DY65" s="281"/>
      <c r="DZ65" s="281"/>
      <c r="EB65" s="278"/>
      <c r="EC65" s="278"/>
      <c r="ED65" s="281"/>
      <c r="EE65" s="281"/>
      <c r="FH65" s="277"/>
    </row>
    <row r="66" spans="1:164">
      <c r="A66" s="205"/>
      <c r="B66" s="205"/>
      <c r="C66" s="201"/>
      <c r="D66" s="201"/>
      <c r="E66" s="201"/>
      <c r="F66" s="201"/>
      <c r="G66" s="201"/>
      <c r="H66" s="201"/>
      <c r="I66" s="56"/>
      <c r="J66" s="56"/>
      <c r="K66" s="206"/>
      <c r="L66" s="206"/>
      <c r="M66" s="206"/>
      <c r="N66" s="206"/>
      <c r="O66" s="206"/>
      <c r="P66" s="206"/>
      <c r="Q66" s="206"/>
      <c r="R66" s="206"/>
      <c r="S66" s="206"/>
      <c r="T66" s="206"/>
      <c r="U66" s="206"/>
      <c r="V66" s="206"/>
      <c r="W66" s="206"/>
      <c r="X66" s="206"/>
      <c r="Y66" s="206"/>
      <c r="Z66" s="209"/>
      <c r="AA66" s="207"/>
      <c r="AB66" s="207"/>
      <c r="AC66" s="207"/>
      <c r="AD66" s="207"/>
      <c r="AE66" s="207"/>
      <c r="AF66" s="207"/>
      <c r="AG66" s="207"/>
      <c r="AH66" s="207"/>
      <c r="AI66" s="207"/>
      <c r="AJ66" s="207"/>
      <c r="AK66" s="207"/>
      <c r="AL66" s="207"/>
      <c r="AM66" s="207"/>
      <c r="AN66" s="207"/>
      <c r="AO66" s="303"/>
      <c r="AP66" s="303"/>
      <c r="AQ66" s="303"/>
      <c r="AR66" s="303"/>
      <c r="AS66" s="303"/>
      <c r="AT66" s="303"/>
      <c r="AU66" s="303"/>
      <c r="AV66" s="303"/>
      <c r="AW66" s="303"/>
      <c r="AX66" s="303"/>
      <c r="AY66" s="303"/>
      <c r="AZ66" s="303"/>
      <c r="BA66" s="207"/>
      <c r="BB66" s="207"/>
      <c r="BC66" s="207"/>
      <c r="BD66" s="207"/>
      <c r="BE66" s="207"/>
      <c r="BF66" s="207"/>
      <c r="BG66" s="207"/>
      <c r="BH66" s="207"/>
      <c r="BI66" s="207"/>
      <c r="BJ66" s="207"/>
      <c r="BK66" s="207"/>
      <c r="BL66" s="207"/>
      <c r="BM66" s="207"/>
      <c r="BN66" s="207"/>
      <c r="BO66" s="207"/>
      <c r="BP66" s="207"/>
      <c r="BQ66" s="207"/>
      <c r="BR66" s="207"/>
      <c r="BS66" s="207"/>
      <c r="BT66" s="207"/>
      <c r="BU66" s="207"/>
      <c r="BV66" s="207"/>
      <c r="BW66" s="207"/>
      <c r="BX66" s="207"/>
      <c r="BY66" s="207"/>
      <c r="BZ66" s="207"/>
      <c r="CA66" s="207"/>
      <c r="CB66" s="207"/>
      <c r="CC66" s="207"/>
      <c r="CD66" s="207"/>
      <c r="CE66" s="304"/>
      <c r="CF66" s="304"/>
      <c r="CG66" s="304"/>
      <c r="CH66" s="304"/>
      <c r="CI66" s="304"/>
      <c r="CJ66" s="304"/>
      <c r="CK66" s="304"/>
      <c r="CL66" s="304"/>
      <c r="CM66" s="304"/>
      <c r="CN66" s="304"/>
      <c r="CO66" s="304"/>
      <c r="CP66" s="304"/>
      <c r="CQ66" s="304"/>
      <c r="CR66" s="304"/>
      <c r="CS66" s="305"/>
      <c r="CV66" s="267"/>
      <c r="CW66" s="267"/>
      <c r="CX66" s="267"/>
      <c r="CY66" s="267"/>
      <c r="CZ66" s="267"/>
      <c r="DA66" s="267"/>
      <c r="DB66" s="267"/>
      <c r="DC66" s="267"/>
      <c r="DD66" s="267"/>
      <c r="DE66" s="267"/>
      <c r="DF66" s="267"/>
      <c r="DG66" s="267"/>
      <c r="DH66" s="267"/>
      <c r="DI66" s="267"/>
      <c r="DJ66" s="267"/>
      <c r="DK66" s="267"/>
      <c r="DL66" s="267"/>
      <c r="DM66" s="267"/>
      <c r="DN66" s="267"/>
      <c r="DO66" s="267"/>
      <c r="DP66" s="267"/>
      <c r="DQ66" s="267"/>
      <c r="DR66" s="270"/>
      <c r="DS66" s="270"/>
      <c r="DT66" s="270"/>
      <c r="DU66" s="270"/>
      <c r="DW66" s="278"/>
      <c r="DX66" s="278"/>
      <c r="DY66" s="281"/>
      <c r="DZ66" s="281"/>
      <c r="EB66" s="278"/>
      <c r="EC66" s="278"/>
      <c r="ED66" s="281"/>
      <c r="EE66" s="281"/>
      <c r="FH66" s="277"/>
    </row>
    <row r="67" spans="1:164">
      <c r="H67">
        <f>SUM(H60:H66)</f>
        <v>6173.4770303688492</v>
      </c>
      <c r="I67" t="b">
        <f>H67=L7*(1+KTDB_발생량도착량_증가율!C8*5)</f>
        <v>0</v>
      </c>
      <c r="DX67" s="278" t="s">
        <v>26</v>
      </c>
      <c r="DY67" s="281">
        <f>SUM(DY60:DY66)</f>
        <v>2265.8945295914282</v>
      </c>
      <c r="DZ67" s="281">
        <f>SUM(DZ60:DZ66)</f>
        <v>5.9826331763560567</v>
      </c>
      <c r="EC67" s="278" t="s">
        <v>26</v>
      </c>
      <c r="ED67" s="281">
        <f>DY67</f>
        <v>2265.8945295914282</v>
      </c>
      <c r="EE67" s="281">
        <f>DZ67</f>
        <v>5.9826331763560567</v>
      </c>
    </row>
  </sheetData>
  <mergeCells count="34">
    <mergeCell ref="B4:C4"/>
    <mergeCell ref="D4:E4"/>
    <mergeCell ref="H4:I4"/>
    <mergeCell ref="J4:K4"/>
    <mergeCell ref="L4:M4"/>
    <mergeCell ref="F4:G4"/>
    <mergeCell ref="DR15:DU15"/>
    <mergeCell ref="M15:Z15"/>
    <mergeCell ref="AA15:AN15"/>
    <mergeCell ref="AO15:BB15"/>
    <mergeCell ref="BC15:BP15"/>
    <mergeCell ref="BQ15:CD15"/>
    <mergeCell ref="CE15:CR15"/>
    <mergeCell ref="ED58:EE58"/>
    <mergeCell ref="DY15:DZ15"/>
    <mergeCell ref="ED15:EE15"/>
    <mergeCell ref="M58:Z58"/>
    <mergeCell ref="AA58:AN58"/>
    <mergeCell ref="AO58:BB58"/>
    <mergeCell ref="BC58:BP58"/>
    <mergeCell ref="BQ58:CD58"/>
    <mergeCell ref="CE58:CR58"/>
    <mergeCell ref="CX58:DA58"/>
    <mergeCell ref="DB58:DE58"/>
    <mergeCell ref="CX15:DA15"/>
    <mergeCell ref="DB15:DE15"/>
    <mergeCell ref="DF15:DI15"/>
    <mergeCell ref="DJ15:DM15"/>
    <mergeCell ref="DN15:DQ15"/>
    <mergeCell ref="DF58:DI58"/>
    <mergeCell ref="DJ58:DM58"/>
    <mergeCell ref="DN58:DQ58"/>
    <mergeCell ref="DR58:DU58"/>
    <mergeCell ref="DY58:DZ58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H87"/>
  <sheetViews>
    <sheetView topLeftCell="AG1" zoomScale="70" zoomScaleNormal="70" workbookViewId="0">
      <selection activeCell="AI8" sqref="AI8"/>
    </sheetView>
  </sheetViews>
  <sheetFormatPr defaultRowHeight="17"/>
  <cols>
    <col min="1" max="1" width="33.08203125" customWidth="1"/>
    <col min="2" max="14" width="8.83203125" customWidth="1"/>
    <col min="26" max="26" width="10.6640625" bestFit="1" customWidth="1"/>
    <col min="27" max="27" width="10.08203125" bestFit="1" customWidth="1"/>
  </cols>
  <sheetData>
    <row r="1" spans="1:33">
      <c r="A1" s="32" t="s">
        <v>234</v>
      </c>
      <c r="B1" t="s">
        <v>400</v>
      </c>
      <c r="V1" s="32" t="s">
        <v>242</v>
      </c>
      <c r="W1" t="s">
        <v>241</v>
      </c>
    </row>
    <row r="2" spans="1:33">
      <c r="B2" t="s">
        <v>153</v>
      </c>
      <c r="C2" t="s">
        <v>399</v>
      </c>
      <c r="W2" t="s">
        <v>239</v>
      </c>
    </row>
    <row r="3" spans="1:33">
      <c r="B3" t="s">
        <v>401</v>
      </c>
      <c r="W3" t="s">
        <v>238</v>
      </c>
    </row>
    <row r="5" spans="1:33" ht="51.5" thickBot="1">
      <c r="A5" s="163" t="s">
        <v>696</v>
      </c>
      <c r="B5" t="s">
        <v>697</v>
      </c>
    </row>
    <row r="6" spans="1:33" ht="24" thickTop="1" thickBot="1">
      <c r="A6" s="448" t="s">
        <v>699</v>
      </c>
      <c r="B6" s="449"/>
      <c r="C6" s="457" t="s">
        <v>686</v>
      </c>
      <c r="D6" s="452" t="s">
        <v>687</v>
      </c>
      <c r="E6" s="453"/>
      <c r="F6" s="454"/>
      <c r="H6" s="351"/>
      <c r="K6" t="s">
        <v>698</v>
      </c>
      <c r="M6" t="s">
        <v>724</v>
      </c>
      <c r="N6" t="s">
        <v>725</v>
      </c>
      <c r="T6" t="s">
        <v>422</v>
      </c>
      <c r="AB6" s="459" t="s">
        <v>160</v>
      </c>
      <c r="AC6" s="460"/>
      <c r="AD6" s="345" t="s">
        <v>22</v>
      </c>
      <c r="AE6" s="346">
        <v>2814</v>
      </c>
      <c r="AF6" s="346">
        <v>15530</v>
      </c>
      <c r="AG6" s="347">
        <v>18344</v>
      </c>
    </row>
    <row r="7" spans="1:33" ht="18" thickTop="1" thickBot="1">
      <c r="A7" s="450"/>
      <c r="B7" s="451"/>
      <c r="C7" s="458"/>
      <c r="D7" s="336" t="s">
        <v>9</v>
      </c>
      <c r="E7" s="336" t="s">
        <v>10</v>
      </c>
      <c r="F7" s="337" t="s">
        <v>11</v>
      </c>
      <c r="N7" t="s">
        <v>9</v>
      </c>
      <c r="O7" t="s">
        <v>10</v>
      </c>
      <c r="P7" t="s">
        <v>11</v>
      </c>
      <c r="T7" s="472" t="s">
        <v>175</v>
      </c>
      <c r="U7" s="473"/>
      <c r="V7" s="474"/>
      <c r="W7" s="173" t="s">
        <v>156</v>
      </c>
      <c r="X7" s="174" t="s">
        <v>157</v>
      </c>
      <c r="Y7" t="s">
        <v>258</v>
      </c>
      <c r="Z7" t="s">
        <v>424</v>
      </c>
      <c r="AB7" s="448" t="s">
        <v>705</v>
      </c>
      <c r="AC7" s="449"/>
      <c r="AD7" s="335" t="s">
        <v>691</v>
      </c>
      <c r="AE7" s="452" t="s">
        <v>687</v>
      </c>
      <c r="AF7" s="453"/>
      <c r="AG7" s="454"/>
    </row>
    <row r="8" spans="1:33" ht="30" thickTop="1" thickBot="1">
      <c r="A8" s="331" t="s">
        <v>701</v>
      </c>
      <c r="B8" s="177" t="s">
        <v>688</v>
      </c>
      <c r="C8" s="338">
        <v>19865.32</v>
      </c>
      <c r="D8" s="339">
        <f>N8/2</f>
        <v>431</v>
      </c>
      <c r="E8" s="339">
        <f t="shared" ref="E8:E10" si="0">O8/2</f>
        <v>453</v>
      </c>
      <c r="F8" s="340">
        <f t="shared" ref="F8:F10" si="1">P8/2</f>
        <v>884</v>
      </c>
      <c r="K8" t="s">
        <v>700</v>
      </c>
      <c r="L8" t="s">
        <v>706</v>
      </c>
      <c r="M8">
        <v>19865.32</v>
      </c>
      <c r="N8">
        <v>862</v>
      </c>
      <c r="O8">
        <v>906</v>
      </c>
      <c r="P8">
        <v>1768</v>
      </c>
      <c r="T8" s="475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  <c r="AB8" s="450"/>
      <c r="AC8" s="451"/>
      <c r="AD8" s="349" t="s">
        <v>690</v>
      </c>
      <c r="AE8" s="336" t="s">
        <v>9</v>
      </c>
      <c r="AF8" s="336" t="s">
        <v>10</v>
      </c>
      <c r="AG8" s="337" t="s">
        <v>11</v>
      </c>
    </row>
    <row r="9" spans="1:33" ht="17.5" thickTop="1">
      <c r="A9" s="330" t="s">
        <v>700</v>
      </c>
      <c r="B9" s="180" t="s">
        <v>14</v>
      </c>
      <c r="C9" s="341">
        <v>26730.62</v>
      </c>
      <c r="D9" s="342">
        <f t="shared" ref="D9:D10" si="2">N9/2</f>
        <v>819</v>
      </c>
      <c r="E9" s="342">
        <f t="shared" si="0"/>
        <v>5665</v>
      </c>
      <c r="F9" s="343">
        <f t="shared" si="1"/>
        <v>6484</v>
      </c>
      <c r="K9" t="s">
        <v>700</v>
      </c>
      <c r="L9" t="s">
        <v>14</v>
      </c>
      <c r="M9">
        <v>26730.62</v>
      </c>
      <c r="N9">
        <v>1638</v>
      </c>
      <c r="O9">
        <v>11330</v>
      </c>
      <c r="P9">
        <v>12968</v>
      </c>
      <c r="T9" s="466"/>
      <c r="U9" s="176" t="s">
        <v>415</v>
      </c>
      <c r="V9" s="180" t="s">
        <v>10</v>
      </c>
      <c r="W9" s="167">
        <v>2.25</v>
      </c>
      <c r="X9" s="168">
        <v>2.09</v>
      </c>
    </row>
    <row r="10" spans="1:33" ht="29.5" thickBot="1">
      <c r="A10" s="14" t="s">
        <v>700</v>
      </c>
      <c r="B10" s="180" t="s">
        <v>689</v>
      </c>
      <c r="C10" s="341">
        <v>26730.62</v>
      </c>
      <c r="D10" s="344">
        <f t="shared" si="2"/>
        <v>157</v>
      </c>
      <c r="E10" s="342">
        <f t="shared" si="0"/>
        <v>1647</v>
      </c>
      <c r="F10" s="343">
        <f t="shared" si="1"/>
        <v>1804</v>
      </c>
      <c r="K10" t="s">
        <v>700</v>
      </c>
      <c r="L10" t="s">
        <v>707</v>
      </c>
      <c r="M10">
        <v>26730.62</v>
      </c>
      <c r="N10">
        <v>314</v>
      </c>
      <c r="O10">
        <v>3294</v>
      </c>
      <c r="P10">
        <v>3608</v>
      </c>
      <c r="T10" s="466"/>
      <c r="U10" s="313" t="s">
        <v>168</v>
      </c>
      <c r="V10" s="468" t="s">
        <v>10</v>
      </c>
      <c r="W10" s="470">
        <v>1.55</v>
      </c>
      <c r="X10" s="461">
        <v>1</v>
      </c>
    </row>
    <row r="11" spans="1:33" ht="29.5" thickTop="1">
      <c r="A11" s="331" t="s">
        <v>703</v>
      </c>
      <c r="B11" s="177" t="s">
        <v>692</v>
      </c>
      <c r="C11" s="338">
        <v>12296.01</v>
      </c>
      <c r="D11" s="339">
        <f t="shared" ref="D11:F14" si="3">N14/2</f>
        <v>0</v>
      </c>
      <c r="E11" s="339">
        <f t="shared" si="3"/>
        <v>224</v>
      </c>
      <c r="F11" s="179">
        <f t="shared" si="3"/>
        <v>224</v>
      </c>
      <c r="K11" t="s">
        <v>160</v>
      </c>
      <c r="M11" t="s">
        <v>22</v>
      </c>
      <c r="N11">
        <v>2814</v>
      </c>
      <c r="O11">
        <v>15530</v>
      </c>
      <c r="P11">
        <v>18344</v>
      </c>
      <c r="T11" s="466"/>
      <c r="U11" s="176" t="s">
        <v>416</v>
      </c>
      <c r="V11" s="469"/>
      <c r="W11" s="471"/>
      <c r="X11" s="462"/>
    </row>
    <row r="12" spans="1:33" ht="17.5" customHeight="1">
      <c r="A12" s="330" t="s">
        <v>702</v>
      </c>
      <c r="B12" s="180" t="s">
        <v>693</v>
      </c>
      <c r="C12" s="341">
        <v>14081.18</v>
      </c>
      <c r="D12" s="344">
        <f t="shared" si="3"/>
        <v>431</v>
      </c>
      <c r="E12" s="342">
        <f t="shared" si="3"/>
        <v>2984</v>
      </c>
      <c r="F12" s="343">
        <f t="shared" si="3"/>
        <v>3415</v>
      </c>
      <c r="K12" t="s">
        <v>704</v>
      </c>
      <c r="M12" t="s">
        <v>726</v>
      </c>
      <c r="N12" t="s">
        <v>725</v>
      </c>
      <c r="T12" s="466"/>
      <c r="U12" s="313" t="s">
        <v>168</v>
      </c>
      <c r="V12" s="180" t="s">
        <v>9</v>
      </c>
      <c r="W12" s="167">
        <v>1.1599999999999999</v>
      </c>
      <c r="X12" s="168">
        <v>1</v>
      </c>
    </row>
    <row r="13" spans="1:33" ht="29">
      <c r="A13" s="348" t="s">
        <v>702</v>
      </c>
      <c r="B13" s="180" t="s">
        <v>689</v>
      </c>
      <c r="C13" s="341">
        <v>8497</v>
      </c>
      <c r="D13" s="344">
        <f t="shared" si="3"/>
        <v>50</v>
      </c>
      <c r="E13" s="342">
        <f t="shared" si="3"/>
        <v>524</v>
      </c>
      <c r="F13" s="343">
        <f t="shared" si="3"/>
        <v>574</v>
      </c>
      <c r="M13" t="s">
        <v>727</v>
      </c>
      <c r="N13" t="s">
        <v>9</v>
      </c>
      <c r="O13" t="s">
        <v>10</v>
      </c>
      <c r="P13" t="s">
        <v>11</v>
      </c>
      <c r="T13" s="466"/>
      <c r="U13" s="176" t="s">
        <v>417</v>
      </c>
      <c r="V13" s="180" t="s">
        <v>10</v>
      </c>
      <c r="W13" s="167">
        <v>1.57</v>
      </c>
      <c r="X13" s="168">
        <v>1.43</v>
      </c>
    </row>
    <row r="14" spans="1:33" ht="41">
      <c r="A14" s="348" t="s">
        <v>702</v>
      </c>
      <c r="B14" s="180" t="s">
        <v>694</v>
      </c>
      <c r="C14" s="350">
        <v>15000</v>
      </c>
      <c r="D14" s="344">
        <f t="shared" si="3"/>
        <v>300</v>
      </c>
      <c r="E14" s="342">
        <f t="shared" si="3"/>
        <v>8400</v>
      </c>
      <c r="F14" s="343">
        <f t="shared" si="3"/>
        <v>8700</v>
      </c>
      <c r="K14" t="s">
        <v>702</v>
      </c>
      <c r="L14" t="s">
        <v>708</v>
      </c>
      <c r="M14">
        <v>12296.01</v>
      </c>
      <c r="N14">
        <v>0</v>
      </c>
      <c r="O14">
        <v>448</v>
      </c>
      <c r="P14">
        <v>448</v>
      </c>
      <c r="T14" s="466"/>
      <c r="U14" s="463" t="s">
        <v>14</v>
      </c>
      <c r="V14" s="180" t="s">
        <v>9</v>
      </c>
      <c r="W14" s="167">
        <v>1.42</v>
      </c>
      <c r="X14" s="168">
        <v>1.41</v>
      </c>
    </row>
    <row r="15" spans="1:33">
      <c r="A15" s="14" t="s">
        <v>702</v>
      </c>
      <c r="K15" t="s">
        <v>702</v>
      </c>
      <c r="L15" t="s">
        <v>693</v>
      </c>
      <c r="M15">
        <v>14081.18</v>
      </c>
      <c r="N15">
        <v>862</v>
      </c>
      <c r="O15">
        <v>5968</v>
      </c>
      <c r="P15">
        <v>6830</v>
      </c>
      <c r="T15" s="466"/>
      <c r="U15" s="464"/>
      <c r="V15" s="180" t="s">
        <v>10</v>
      </c>
      <c r="W15" s="167">
        <v>1.82</v>
      </c>
      <c r="X15" s="168">
        <v>1.82</v>
      </c>
    </row>
    <row r="16" spans="1:33" ht="17.5" thickBot="1">
      <c r="A16" s="455" t="s">
        <v>695</v>
      </c>
      <c r="B16" s="456"/>
      <c r="C16" s="345" t="s">
        <v>22</v>
      </c>
      <c r="D16" s="346">
        <v>1562</v>
      </c>
      <c r="E16" s="346">
        <v>24264</v>
      </c>
      <c r="F16" s="347">
        <v>25826</v>
      </c>
      <c r="K16" t="s">
        <v>702</v>
      </c>
      <c r="L16" t="s">
        <v>707</v>
      </c>
      <c r="M16">
        <v>8497</v>
      </c>
      <c r="N16">
        <v>100</v>
      </c>
      <c r="O16">
        <v>1048</v>
      </c>
      <c r="P16">
        <v>1148</v>
      </c>
      <c r="T16" s="466"/>
      <c r="U16" s="313" t="s">
        <v>418</v>
      </c>
      <c r="V16" s="180" t="s">
        <v>9</v>
      </c>
      <c r="W16" s="167">
        <v>3.1</v>
      </c>
      <c r="X16" s="168">
        <v>2.31</v>
      </c>
    </row>
    <row r="17" spans="1:139" ht="17.5" thickTop="1">
      <c r="K17" t="s">
        <v>702</v>
      </c>
      <c r="L17" t="s">
        <v>709</v>
      </c>
      <c r="M17">
        <v>15000</v>
      </c>
      <c r="N17">
        <v>600</v>
      </c>
      <c r="O17">
        <v>16800</v>
      </c>
      <c r="P17">
        <v>17400</v>
      </c>
      <c r="T17" s="476"/>
      <c r="U17" s="176" t="s">
        <v>419</v>
      </c>
      <c r="V17" s="180" t="s">
        <v>10</v>
      </c>
      <c r="W17" s="167">
        <v>3.1</v>
      </c>
      <c r="X17" s="168">
        <v>2.31</v>
      </c>
    </row>
    <row r="18" spans="1:139" ht="24">
      <c r="T18" s="465" t="s">
        <v>420</v>
      </c>
      <c r="U18" s="313" t="s">
        <v>414</v>
      </c>
      <c r="V18" s="180" t="s">
        <v>9</v>
      </c>
      <c r="W18" s="167">
        <v>2.25</v>
      </c>
      <c r="X18" s="168">
        <v>2.09</v>
      </c>
    </row>
    <row r="19" spans="1:139">
      <c r="T19" s="466"/>
      <c r="U19" s="176" t="s">
        <v>415</v>
      </c>
      <c r="V19" s="180" t="s">
        <v>10</v>
      </c>
      <c r="W19" s="167">
        <v>2.25</v>
      </c>
      <c r="X19" s="168">
        <v>2.09</v>
      </c>
    </row>
    <row r="20" spans="1:139">
      <c r="T20" s="466"/>
      <c r="U20" s="313" t="s">
        <v>168</v>
      </c>
      <c r="V20" s="468" t="s">
        <v>10</v>
      </c>
      <c r="W20" s="470">
        <v>1.55</v>
      </c>
      <c r="X20" s="461">
        <v>1</v>
      </c>
    </row>
    <row r="21" spans="1:139">
      <c r="T21" s="466"/>
      <c r="U21" s="176" t="s">
        <v>416</v>
      </c>
      <c r="V21" s="469"/>
      <c r="W21" s="471"/>
      <c r="X21" s="462"/>
    </row>
    <row r="22" spans="1:139">
      <c r="T22" s="466"/>
      <c r="U22" s="313" t="s">
        <v>168</v>
      </c>
      <c r="V22" s="180" t="s">
        <v>9</v>
      </c>
      <c r="W22" s="167">
        <v>1.2</v>
      </c>
      <c r="X22" s="168">
        <v>1.25</v>
      </c>
    </row>
    <row r="23" spans="1:139" ht="29">
      <c r="T23" s="466"/>
      <c r="U23" s="176" t="s">
        <v>417</v>
      </c>
      <c r="V23" s="180" t="s">
        <v>10</v>
      </c>
      <c r="W23" s="167">
        <v>1.64</v>
      </c>
      <c r="X23" s="168">
        <v>1.67</v>
      </c>
    </row>
    <row r="24" spans="1:139">
      <c r="T24" s="466"/>
      <c r="U24" s="463" t="s">
        <v>14</v>
      </c>
      <c r="V24" s="180" t="s">
        <v>9</v>
      </c>
      <c r="W24" s="167">
        <v>1.43</v>
      </c>
      <c r="X24" s="168">
        <v>1.41</v>
      </c>
    </row>
    <row r="25" spans="1:139">
      <c r="T25" s="466"/>
      <c r="U25" s="464"/>
      <c r="V25" s="180" t="s">
        <v>10</v>
      </c>
      <c r="W25" s="167">
        <v>1.96</v>
      </c>
      <c r="X25" s="168">
        <v>1.91</v>
      </c>
    </row>
    <row r="26" spans="1:139">
      <c r="T26" s="466"/>
      <c r="U26" s="313" t="s">
        <v>418</v>
      </c>
      <c r="V26" s="180" t="s">
        <v>9</v>
      </c>
      <c r="W26" s="167">
        <v>3.5</v>
      </c>
      <c r="X26" s="168">
        <v>2.02</v>
      </c>
    </row>
    <row r="27" spans="1:139" ht="17.5" thickBot="1">
      <c r="T27" s="467"/>
      <c r="U27" s="182" t="s">
        <v>419</v>
      </c>
      <c r="V27" s="183" t="s">
        <v>10</v>
      </c>
      <c r="W27" s="184">
        <v>3.5</v>
      </c>
      <c r="X27" s="185">
        <v>2.02</v>
      </c>
      <c r="EI27" s="32" t="s">
        <v>863</v>
      </c>
    </row>
    <row r="28" spans="1:139" ht="17.5" thickTop="1">
      <c r="K28" s="403"/>
      <c r="L28" s="32" t="s">
        <v>851</v>
      </c>
      <c r="EH28" s="279"/>
      <c r="EI28" s="279" t="s">
        <v>601</v>
      </c>
    </row>
    <row r="29" spans="1:139">
      <c r="EH29" s="279" t="s">
        <v>602</v>
      </c>
      <c r="EI29" s="293">
        <v>1</v>
      </c>
    </row>
    <row r="32" spans="1:139" s="227" customFormat="1" ht="19.5">
      <c r="A32" s="329">
        <v>2025</v>
      </c>
      <c r="B32" s="282"/>
      <c r="C32" s="283"/>
      <c r="D32" s="284"/>
      <c r="E32" s="284"/>
      <c r="F32" s="284"/>
      <c r="G32" s="284"/>
      <c r="H32" s="284"/>
      <c r="I32" s="284"/>
      <c r="K32" s="282"/>
      <c r="L32" s="282"/>
      <c r="M32" s="283"/>
      <c r="N32" s="284"/>
      <c r="O32" s="284"/>
      <c r="P32" s="284"/>
      <c r="Q32" s="284"/>
      <c r="R32" s="284"/>
      <c r="S32" s="284"/>
    </row>
    <row r="33" spans="1:157" ht="23.5" thickBot="1">
      <c r="A33" s="32" t="s">
        <v>468</v>
      </c>
      <c r="C33" t="s">
        <v>463</v>
      </c>
      <c r="D33" t="s">
        <v>467</v>
      </c>
      <c r="E33" t="s">
        <v>470</v>
      </c>
      <c r="F33" t="s">
        <v>465</v>
      </c>
      <c r="G33" t="s">
        <v>466</v>
      </c>
      <c r="H33" t="s">
        <v>21</v>
      </c>
      <c r="K33" s="32" t="s">
        <v>471</v>
      </c>
      <c r="CV33" s="32" t="s">
        <v>492</v>
      </c>
      <c r="CY33" t="s">
        <v>478</v>
      </c>
      <c r="CZ33" t="s">
        <v>479</v>
      </c>
      <c r="EL33" s="353" t="s">
        <v>854</v>
      </c>
      <c r="EU33" s="353" t="s">
        <v>745</v>
      </c>
    </row>
    <row r="34" spans="1:157">
      <c r="A34" t="s">
        <v>462</v>
      </c>
      <c r="C34" t="s">
        <v>427</v>
      </c>
      <c r="D34" t="s">
        <v>428</v>
      </c>
      <c r="E34" t="s">
        <v>429</v>
      </c>
      <c r="F34" t="s">
        <v>430</v>
      </c>
      <c r="G34" t="s">
        <v>431</v>
      </c>
      <c r="H34" t="s">
        <v>457</v>
      </c>
      <c r="K34" s="159" t="s">
        <v>482</v>
      </c>
      <c r="L34" s="159"/>
      <c r="M34" s="443" t="s">
        <v>463</v>
      </c>
      <c r="N34" s="444"/>
      <c r="O34" s="444"/>
      <c r="P34" s="444"/>
      <c r="Q34" s="444"/>
      <c r="R34" s="444"/>
      <c r="S34" s="444"/>
      <c r="T34" s="444"/>
      <c r="U34" s="444"/>
      <c r="V34" s="444"/>
      <c r="W34" s="444"/>
      <c r="X34" s="444"/>
      <c r="Y34" s="444"/>
      <c r="Z34" s="445"/>
      <c r="AA34" s="443" t="s">
        <v>467</v>
      </c>
      <c r="AB34" s="444"/>
      <c r="AC34" s="444"/>
      <c r="AD34" s="444"/>
      <c r="AE34" s="444"/>
      <c r="AF34" s="444"/>
      <c r="AG34" s="444"/>
      <c r="AH34" s="444"/>
      <c r="AI34" s="444"/>
      <c r="AJ34" s="444"/>
      <c r="AK34" s="444"/>
      <c r="AL34" s="444"/>
      <c r="AM34" s="444"/>
      <c r="AN34" s="445"/>
      <c r="AO34" s="443" t="s">
        <v>464</v>
      </c>
      <c r="AP34" s="444"/>
      <c r="AQ34" s="444"/>
      <c r="AR34" s="444"/>
      <c r="AS34" s="444"/>
      <c r="AT34" s="444"/>
      <c r="AU34" s="444"/>
      <c r="AV34" s="444"/>
      <c r="AW34" s="444"/>
      <c r="AX34" s="444"/>
      <c r="AY34" s="444"/>
      <c r="AZ34" s="444"/>
      <c r="BA34" s="444"/>
      <c r="BB34" s="445"/>
      <c r="BC34" s="443" t="s">
        <v>465</v>
      </c>
      <c r="BD34" s="444"/>
      <c r="BE34" s="444"/>
      <c r="BF34" s="444"/>
      <c r="BG34" s="444"/>
      <c r="BH34" s="444"/>
      <c r="BI34" s="444"/>
      <c r="BJ34" s="444"/>
      <c r="BK34" s="444"/>
      <c r="BL34" s="444"/>
      <c r="BM34" s="444"/>
      <c r="BN34" s="444"/>
      <c r="BO34" s="444"/>
      <c r="BP34" s="445"/>
      <c r="BQ34" s="443" t="s">
        <v>466</v>
      </c>
      <c r="BR34" s="444"/>
      <c r="BS34" s="444"/>
      <c r="BT34" s="444"/>
      <c r="BU34" s="444"/>
      <c r="BV34" s="444"/>
      <c r="BW34" s="444"/>
      <c r="BX34" s="444"/>
      <c r="BY34" s="444"/>
      <c r="BZ34" s="444"/>
      <c r="CA34" s="444"/>
      <c r="CB34" s="444"/>
      <c r="CC34" s="444"/>
      <c r="CD34" s="445"/>
      <c r="CE34" s="443" t="s">
        <v>21</v>
      </c>
      <c r="CF34" s="444"/>
      <c r="CG34" s="444"/>
      <c r="CH34" s="444"/>
      <c r="CI34" s="444"/>
      <c r="CJ34" s="444"/>
      <c r="CK34" s="444"/>
      <c r="CL34" s="444"/>
      <c r="CM34" s="444"/>
      <c r="CN34" s="444"/>
      <c r="CO34" s="444"/>
      <c r="CP34" s="444"/>
      <c r="CQ34" s="444"/>
      <c r="CR34" s="445"/>
      <c r="CV34" s="263" t="s">
        <v>482</v>
      </c>
      <c r="CW34" s="263"/>
      <c r="CX34" s="446" t="s">
        <v>554</v>
      </c>
      <c r="CY34" s="439"/>
      <c r="CZ34" s="439"/>
      <c r="DA34" s="440"/>
      <c r="DB34" s="438" t="s">
        <v>553</v>
      </c>
      <c r="DC34" s="439"/>
      <c r="DD34" s="439"/>
      <c r="DE34" s="440"/>
      <c r="DF34" s="438" t="s">
        <v>464</v>
      </c>
      <c r="DG34" s="439"/>
      <c r="DH34" s="439"/>
      <c r="DI34" s="440"/>
      <c r="DJ34" s="438" t="s">
        <v>465</v>
      </c>
      <c r="DK34" s="439"/>
      <c r="DL34" s="439"/>
      <c r="DM34" s="440"/>
      <c r="DN34" s="438" t="s">
        <v>466</v>
      </c>
      <c r="DO34" s="439"/>
      <c r="DP34" s="439"/>
      <c r="DQ34" s="440"/>
      <c r="DR34" s="438" t="s">
        <v>21</v>
      </c>
      <c r="DS34" s="439"/>
      <c r="DT34" s="439"/>
      <c r="DU34" s="441"/>
      <c r="DW34" s="278"/>
      <c r="DX34" s="278"/>
      <c r="DY34" s="442" t="s">
        <v>588</v>
      </c>
      <c r="DZ34" s="442"/>
      <c r="EB34" s="278"/>
      <c r="EC34" s="278"/>
      <c r="ED34" s="442" t="s">
        <v>588</v>
      </c>
      <c r="EE34" s="442"/>
      <c r="EI34" t="s">
        <v>599</v>
      </c>
    </row>
    <row r="35" spans="1:157">
      <c r="A35" s="199"/>
      <c r="B35" s="199"/>
      <c r="C35" s="202" t="s">
        <v>463</v>
      </c>
      <c r="D35" s="202" t="s">
        <v>467</v>
      </c>
      <c r="E35" s="202" t="s">
        <v>464</v>
      </c>
      <c r="F35" s="202" t="s">
        <v>465</v>
      </c>
      <c r="G35" s="202" t="s">
        <v>558</v>
      </c>
      <c r="H35" s="202" t="s">
        <v>21</v>
      </c>
      <c r="K35" s="159"/>
      <c r="L35" s="159"/>
      <c r="M35" s="211" t="s">
        <v>472</v>
      </c>
      <c r="N35" s="160" t="s">
        <v>156</v>
      </c>
      <c r="O35" s="160" t="s">
        <v>475</v>
      </c>
      <c r="P35" s="160" t="s">
        <v>476</v>
      </c>
      <c r="Q35" s="160" t="s">
        <v>477</v>
      </c>
      <c r="R35" s="160" t="s">
        <v>478</v>
      </c>
      <c r="S35" s="160" t="s">
        <v>479</v>
      </c>
      <c r="T35" s="160" t="s">
        <v>480</v>
      </c>
      <c r="U35" s="160" t="s">
        <v>449</v>
      </c>
      <c r="V35" s="160" t="s">
        <v>157</v>
      </c>
      <c r="W35" s="160" t="s">
        <v>473</v>
      </c>
      <c r="X35" s="160" t="s">
        <v>474</v>
      </c>
      <c r="Y35" s="160" t="s">
        <v>46</v>
      </c>
      <c r="Z35" s="212" t="s">
        <v>11</v>
      </c>
      <c r="AA35" s="211" t="s">
        <v>472</v>
      </c>
      <c r="AB35" s="160" t="s">
        <v>156</v>
      </c>
      <c r="AC35" s="160" t="s">
        <v>475</v>
      </c>
      <c r="AD35" s="160" t="s">
        <v>476</v>
      </c>
      <c r="AE35" s="160" t="s">
        <v>477</v>
      </c>
      <c r="AF35" s="160" t="s">
        <v>478</v>
      </c>
      <c r="AG35" s="160" t="s">
        <v>479</v>
      </c>
      <c r="AH35" s="160" t="s">
        <v>480</v>
      </c>
      <c r="AI35" s="160" t="s">
        <v>449</v>
      </c>
      <c r="AJ35" s="160" t="s">
        <v>157</v>
      </c>
      <c r="AK35" s="160" t="s">
        <v>473</v>
      </c>
      <c r="AL35" s="160" t="s">
        <v>474</v>
      </c>
      <c r="AM35" s="160" t="s">
        <v>46</v>
      </c>
      <c r="AN35" s="212" t="s">
        <v>11</v>
      </c>
      <c r="AO35" s="211" t="s">
        <v>472</v>
      </c>
      <c r="AP35" s="160" t="s">
        <v>156</v>
      </c>
      <c r="AQ35" s="160" t="s">
        <v>475</v>
      </c>
      <c r="AR35" s="160" t="s">
        <v>476</v>
      </c>
      <c r="AS35" s="160" t="s">
        <v>477</v>
      </c>
      <c r="AT35" s="160" t="s">
        <v>478</v>
      </c>
      <c r="AU35" s="160" t="s">
        <v>479</v>
      </c>
      <c r="AV35" s="160" t="s">
        <v>480</v>
      </c>
      <c r="AW35" s="160" t="s">
        <v>449</v>
      </c>
      <c r="AX35" s="160" t="s">
        <v>157</v>
      </c>
      <c r="AY35" s="160" t="s">
        <v>473</v>
      </c>
      <c r="AZ35" s="160" t="s">
        <v>474</v>
      </c>
      <c r="BA35" s="160" t="s">
        <v>46</v>
      </c>
      <c r="BB35" s="212" t="s">
        <v>11</v>
      </c>
      <c r="BC35" s="211" t="s">
        <v>472</v>
      </c>
      <c r="BD35" s="160" t="s">
        <v>156</v>
      </c>
      <c r="BE35" s="160" t="s">
        <v>475</v>
      </c>
      <c r="BF35" s="160" t="s">
        <v>476</v>
      </c>
      <c r="BG35" s="160" t="s">
        <v>477</v>
      </c>
      <c r="BH35" s="160" t="s">
        <v>478</v>
      </c>
      <c r="BI35" s="160" t="s">
        <v>479</v>
      </c>
      <c r="BJ35" s="160" t="s">
        <v>480</v>
      </c>
      <c r="BK35" s="160" t="s">
        <v>449</v>
      </c>
      <c r="BL35" s="160" t="s">
        <v>157</v>
      </c>
      <c r="BM35" s="160" t="s">
        <v>473</v>
      </c>
      <c r="BN35" s="160" t="s">
        <v>474</v>
      </c>
      <c r="BO35" s="160" t="s">
        <v>46</v>
      </c>
      <c r="BP35" s="212" t="s">
        <v>11</v>
      </c>
      <c r="BQ35" s="211" t="s">
        <v>472</v>
      </c>
      <c r="BR35" s="160" t="s">
        <v>156</v>
      </c>
      <c r="BS35" s="160" t="s">
        <v>475</v>
      </c>
      <c r="BT35" s="160" t="s">
        <v>476</v>
      </c>
      <c r="BU35" s="160" t="s">
        <v>477</v>
      </c>
      <c r="BV35" s="160" t="s">
        <v>478</v>
      </c>
      <c r="BW35" s="160" t="s">
        <v>479</v>
      </c>
      <c r="BX35" s="160" t="s">
        <v>480</v>
      </c>
      <c r="BY35" s="160" t="s">
        <v>449</v>
      </c>
      <c r="BZ35" s="160" t="s">
        <v>157</v>
      </c>
      <c r="CA35" s="160" t="s">
        <v>473</v>
      </c>
      <c r="CB35" s="160" t="s">
        <v>474</v>
      </c>
      <c r="CC35" s="160" t="s">
        <v>46</v>
      </c>
      <c r="CD35" s="212" t="s">
        <v>11</v>
      </c>
      <c r="CE35" s="211" t="s">
        <v>472</v>
      </c>
      <c r="CF35" s="160" t="s">
        <v>156</v>
      </c>
      <c r="CG35" s="160" t="s">
        <v>475</v>
      </c>
      <c r="CH35" s="160" t="s">
        <v>476</v>
      </c>
      <c r="CI35" s="160" t="s">
        <v>477</v>
      </c>
      <c r="CJ35" s="160" t="s">
        <v>478</v>
      </c>
      <c r="CK35" s="160" t="s">
        <v>479</v>
      </c>
      <c r="CL35" s="160" t="s">
        <v>480</v>
      </c>
      <c r="CM35" s="160" t="s">
        <v>449</v>
      </c>
      <c r="CN35" s="160" t="s">
        <v>157</v>
      </c>
      <c r="CO35" s="160" t="s">
        <v>473</v>
      </c>
      <c r="CP35" s="160" t="s">
        <v>474</v>
      </c>
      <c r="CQ35" s="160" t="s">
        <v>46</v>
      </c>
      <c r="CR35" s="212" t="s">
        <v>11</v>
      </c>
      <c r="CV35" s="263"/>
      <c r="CW35" s="263"/>
      <c r="CX35" s="264" t="s">
        <v>156</v>
      </c>
      <c r="CY35" s="264" t="s">
        <v>478</v>
      </c>
      <c r="CZ35" s="264" t="s">
        <v>479</v>
      </c>
      <c r="DA35" s="264" t="s">
        <v>157</v>
      </c>
      <c r="DB35" s="264" t="s">
        <v>156</v>
      </c>
      <c r="DC35" s="264" t="s">
        <v>478</v>
      </c>
      <c r="DD35" s="264" t="s">
        <v>479</v>
      </c>
      <c r="DE35" s="264" t="s">
        <v>157</v>
      </c>
      <c r="DF35" s="264" t="s">
        <v>156</v>
      </c>
      <c r="DG35" s="264" t="s">
        <v>478</v>
      </c>
      <c r="DH35" s="264" t="s">
        <v>479</v>
      </c>
      <c r="DI35" s="264" t="s">
        <v>157</v>
      </c>
      <c r="DJ35" s="264" t="s">
        <v>156</v>
      </c>
      <c r="DK35" s="264" t="s">
        <v>478</v>
      </c>
      <c r="DL35" s="264" t="s">
        <v>479</v>
      </c>
      <c r="DM35" s="264" t="s">
        <v>157</v>
      </c>
      <c r="DN35" s="264" t="s">
        <v>156</v>
      </c>
      <c r="DO35" s="264" t="s">
        <v>478</v>
      </c>
      <c r="DP35" s="264" t="s">
        <v>479</v>
      </c>
      <c r="DQ35" s="264" t="s">
        <v>157</v>
      </c>
      <c r="DR35" s="264" t="s">
        <v>156</v>
      </c>
      <c r="DS35" s="264" t="s">
        <v>478</v>
      </c>
      <c r="DT35" s="264" t="s">
        <v>479</v>
      </c>
      <c r="DU35" s="264" t="s">
        <v>157</v>
      </c>
      <c r="DW35" s="278"/>
      <c r="DX35" s="278"/>
      <c r="DY35" s="280" t="s">
        <v>585</v>
      </c>
      <c r="DZ35" s="280" t="s">
        <v>259</v>
      </c>
      <c r="EB35" s="278"/>
      <c r="EC35" s="278"/>
      <c r="ED35" s="280" t="s">
        <v>585</v>
      </c>
      <c r="EE35" s="280" t="s">
        <v>259</v>
      </c>
      <c r="EL35" s="420" t="s">
        <v>564</v>
      </c>
      <c r="EM35" s="420" t="s">
        <v>565</v>
      </c>
      <c r="EN35" s="420" t="s">
        <v>566</v>
      </c>
      <c r="EO35" s="420" t="s">
        <v>562</v>
      </c>
      <c r="EP35" s="421" t="s">
        <v>597</v>
      </c>
      <c r="EQ35" s="421" t="s">
        <v>585</v>
      </c>
      <c r="ER35" s="421" t="s">
        <v>259</v>
      </c>
      <c r="ES35" s="424" t="s">
        <v>867</v>
      </c>
      <c r="EU35" s="306" t="s">
        <v>564</v>
      </c>
      <c r="EV35" s="306" t="s">
        <v>565</v>
      </c>
      <c r="EW35" s="306" t="s">
        <v>566</v>
      </c>
      <c r="EX35" s="306" t="s">
        <v>562</v>
      </c>
      <c r="EY35" s="307" t="s">
        <v>597</v>
      </c>
      <c r="EZ35" s="307" t="s">
        <v>585</v>
      </c>
      <c r="FA35" s="307" t="s">
        <v>259</v>
      </c>
    </row>
    <row r="36" spans="1:157" ht="37.5">
      <c r="A36" s="205" t="s">
        <v>700</v>
      </c>
      <c r="B36" s="205" t="s">
        <v>711</v>
      </c>
      <c r="C36" s="400">
        <f>$D8*KTDB_TripDistribution_2040!L$12 * (1+KTDB_발생량도착량_증가율!$C$8) * (1+KTDB_발생량도착량_증가율!$D$7*5) * (1+KTDB_발생량도착량_증가율!$E$7*5) * (1+KTDB_발생량도착량_증가율!$F$7*5)</f>
        <v>46.454289561680305</v>
      </c>
      <c r="D36" s="400">
        <f>$D8*KTDB_TripDistribution_2040!M$12 * (1+KTDB_발생량도착량_증가율!$C$8) * (1+KTDB_발생량도착량_증가율!$D$7*5) * (1+KTDB_발생량도착량_증가율!$E$7*5) * (1+KTDB_발생량도착량_증가율!$F$7*5)</f>
        <v>361.23475050183339</v>
      </c>
      <c r="E36" s="400">
        <f>$D8*KTDB_TripDistribution_2040!N$12 * (1+KTDB_발생량도착량_증가율!$C$8) * (1+KTDB_발생량도착량_증가율!$D$7*5) * (1+KTDB_발생량도착량_증가율!$E$7*5) * (1+KTDB_발생량도착량_증가율!$F$7*5)</f>
        <v>16.011857868081865</v>
      </c>
      <c r="F36" s="400">
        <f>$D8*KTDB_TripDistribution_2040!O$12 * (1+KTDB_발생량도착량_증가율!$C$8) * (1+KTDB_발생량도착량_증가율!$D$7*5) * (1+KTDB_발생량도착량_증가율!$E$7*5) * (1+KTDB_발생량도착량_증가율!$F$7*5)</f>
        <v>4.3421987438865849E-2</v>
      </c>
      <c r="G36" s="400">
        <f>$D8*KTDB_TripDistribution_2040!P$12 * (1+KTDB_발생량도착량_증가율!$C$8) * (1+KTDB_발생량도착량_증가율!$D$7*5) * (1+KTDB_발생량도착량_증가율!$E$7*5) * (1+KTDB_발생량도착량_증가율!$F$7*5)</f>
        <v>0.1230289644101209</v>
      </c>
      <c r="H36" s="400">
        <f>$D8*KTDB_TripDistribution_2040!Q$12 * (1+KTDB_발생량도착량_증가율!$C$8) * (1+KTDB_발생량도착량_증가율!$D$7*5) * (1+KTDB_발생량도착량_증가율!$E$7*5) * (1+KTDB_발생량도착량_증가율!$F$7*5)</f>
        <v>423.86734888344444</v>
      </c>
      <c r="J36" s="230">
        <f t="shared" ref="J36:J40" si="4">CR36</f>
        <v>423.86734888344455</v>
      </c>
      <c r="K36" s="206"/>
      <c r="L36" s="206" t="s">
        <v>710</v>
      </c>
      <c r="M36" s="206">
        <f>INDEX($A$35:$H$42,MATCH($L36,$B$35:$B$42,0),MATCH($M$34,$A$35:$H$35,0))*고양시_Modal_split!C$3 * 0.01</f>
        <v>0.13007201077270483</v>
      </c>
      <c r="N36" s="206">
        <f>INDEX($A$35:$H$42,MATCH($L36,$B$35:$B$42,0),MATCH($M$34,$A$35:$H$35,0))*고양시_Modal_split!D$3 * 0.01</f>
        <v>21.84745238085825</v>
      </c>
      <c r="O36" s="206">
        <f>INDEX($A$35:$H$42,MATCH($L36,$B$35:$B$42,0),MATCH($M$34,$A$35:$H$35,0))*고양시_Modal_split!E$3 * 0.01</f>
        <v>2.6432490760596092</v>
      </c>
      <c r="P36" s="206">
        <f>INDEX($A$35:$H$42,MATCH($L36,$B$35:$B$42,0),MATCH($M$34,$A$35:$H$35,0))*고양시_Modal_split!F$3 * 0.01</f>
        <v>4.2598583528060843</v>
      </c>
      <c r="Q36" s="206">
        <f>INDEX($A$35:$H$42,MATCH($L36,$B$35:$B$42,0),MATCH($M$34,$A$35:$H$35,0))*고양시_Modal_split!G$3 * 0.01</f>
        <v>0.42737946396745879</v>
      </c>
      <c r="R36" s="206">
        <f>INDEX($A$35:$H$42,MATCH($L36,$B$35:$B$42,0),MATCH($M$34,$A$35:$H$35,0))*고양시_Modal_split!H$3 * 0.01</f>
        <v>4.6454289561680311E-3</v>
      </c>
      <c r="S36" s="206">
        <f>INDEX($A$35:$H$42,MATCH($L36,$B$35:$B$42,0),MATCH($M$34,$A$35:$H$35,0))*고양시_Modal_split!I$3 * 0.01</f>
        <v>1.2914292498147122</v>
      </c>
      <c r="T36" s="206">
        <f>INDEX($A$35:$H$42,MATCH($L36,$B$35:$B$42,0),MATCH($M$34,$A$35:$H$35,0))*고양시_Modal_split!J$3 * 0.01</f>
        <v>14.140685742575485</v>
      </c>
      <c r="U36" s="206">
        <f>INDEX($A$35:$H$42,MATCH($L36,$B$35:$B$42,0),MATCH($M$34,$A$35:$H$35,0))*고양시_Modal_split!K$3 * 0.01</f>
        <v>6.9681434342520457E-2</v>
      </c>
      <c r="V36" s="206">
        <f>INDEX($A$35:$H$42,MATCH($L36,$B$35:$B$42,0),MATCH($M$34,$A$35:$H$35,0))*고양시_Modal_split!L$3 * 0.01</f>
        <v>1.4029195447627454</v>
      </c>
      <c r="W36" s="206">
        <f>INDEX($A$35:$H$42,MATCH($L36,$B$35:$B$42,0),MATCH($M$34,$A$35:$H$35,0))*고양시_Modal_split!M$3 * 0.01</f>
        <v>0.1068448659918647</v>
      </c>
      <c r="X36" s="206">
        <f>INDEX($A$35:$H$42,MATCH($L36,$B$35:$B$42,0),MATCH($M$34,$A$35:$H$35,0))*고양시_Modal_split!N$3 * 0.01</f>
        <v>4.6454289561680309E-2</v>
      </c>
      <c r="Y36" s="206">
        <f>INDEX($A$35:$H$42,MATCH($L36,$B$35:$B$42,0),MATCH($M$34,$A$35:$H$35,0))*고양시_Modal_split!O$3 * 0.01</f>
        <v>8.3617721211024551E-2</v>
      </c>
      <c r="Z36" s="209">
        <f>INDEX($A$35:$H$42,MATCH($L36,$B$35:$B$42,0),MATCH($M$34,$A$35:$H$35,0))*고양시_Modal_split!P$3 * 0.01</f>
        <v>46.454289561680305</v>
      </c>
      <c r="AA36" s="206">
        <f>INDEX($A$35:$H$42,MATCH($L36,$B$35:$B$42,0),MATCH($AA$34,$A$35:$H$35,0))*고양시_Modal_split!C$3 * 0.01</f>
        <v>1.0114573014051333</v>
      </c>
      <c r="AB36" s="207">
        <f>INDEX($A$35:$H$42,MATCH($L36,$B$35:$B$42,0),MATCH($AA$34,$A$35:$H$35,0))*고양시_Modal_split!D$3 * 0.01</f>
        <v>169.88870316101224</v>
      </c>
      <c r="AC36" s="207">
        <f>INDEX($A$35:$H$42,MATCH($L36,$B$35:$B$42,0),MATCH($AA$34,$A$35:$H$35,0))*고양시_Modal_split!E$3 * 0.01</f>
        <v>20.554257303554319</v>
      </c>
      <c r="AD36" s="207">
        <f>INDEX($A$35:$H$42,MATCH($L36,$B$35:$B$42,0),MATCH($AA$34,$A$35:$H$35,0))*고양시_Modal_split!F$3 * 0.01</f>
        <v>33.125226621018122</v>
      </c>
      <c r="AE36" s="207">
        <f>INDEX($A$35:$H$42,MATCH($L36,$B$35:$B$42,0),MATCH($AA$34,$A$35:$H$35,0))*고양시_Modal_split!G$3 * 0.01</f>
        <v>3.323359704616867</v>
      </c>
      <c r="AF36" s="207">
        <f>INDEX($A$35:$H$42,MATCH($L36,$B$35:$B$42,0),MATCH($AA$34,$A$35:$H$35,0))*고양시_Modal_split!H$3 * 0.01</f>
        <v>3.6123475050183339E-2</v>
      </c>
      <c r="AG36" s="207">
        <f>INDEX($A$35:$H$42,MATCH($L36,$B$35:$B$42,0),MATCH($AA$34,$A$35:$H$35,0))*고양시_Modal_split!I$3 * 0.01</f>
        <v>10.042326063950966</v>
      </c>
      <c r="AH36" s="207">
        <f>INDEX($A$35:$H$42,MATCH($L36,$B$35:$B$42,0),MATCH($AA$34,$A$35:$H$35,0))*고양시_Modal_split!J$3 * 0.01</f>
        <v>109.95985805275808</v>
      </c>
      <c r="AI36" s="207">
        <f>INDEX($A$35:$H$42,MATCH($L36,$B$35:$B$42,0),MATCH($AA$34,$A$35:$H$35,0))*고양시_Modal_split!K$3 * 0.01</f>
        <v>0.5418521257527501</v>
      </c>
      <c r="AJ36" s="207">
        <f>INDEX($A$35:$H$42,MATCH($L36,$B$35:$B$42,0),MATCH($AA$34,$A$35:$H$35,0))*고양시_Modal_split!L$3 * 0.01</f>
        <v>10.909289465155368</v>
      </c>
      <c r="AK36" s="207">
        <f>INDEX($A$35:$H$42,MATCH($L36,$B$35:$B$42,0),MATCH($AA$34,$A$35:$H$35,0))*고양시_Modal_split!M$3 * 0.01</f>
        <v>0.83083992615421676</v>
      </c>
      <c r="AL36" s="207">
        <f>INDEX($A$35:$H$42,MATCH($L36,$B$35:$B$42,0),MATCH($AA$34,$A$35:$H$35,0))*고양시_Modal_split!N$3 * 0.01</f>
        <v>0.3612347505018334</v>
      </c>
      <c r="AM36" s="207">
        <f>INDEX($A$35:$H$42,MATCH($L36,$B$35:$B$42,0),MATCH($AA$34,$A$35:$H$35,0))*고양시_Modal_split!O$3 * 0.01</f>
        <v>0.65022255090330006</v>
      </c>
      <c r="AN36" s="207">
        <f>INDEX($A$35:$H$42,MATCH($L36,$B$35:$B$42,0),MATCH($AA$34,$A$35:$H$35,0))*고양시_Modal_split!P$3 * 0.01</f>
        <v>361.23475050183339</v>
      </c>
      <c r="AO36" s="303">
        <f>INDEX($A$35:$H$42,MATCH($L36,$B$35:$B$42,0),MATCH($AO$34,$A$35:$H$35,0))*고양시_Modal_split!C$3 * 0.01</f>
        <v>4.4833202030629224E-2</v>
      </c>
      <c r="AP36" s="303">
        <f>INDEX($A$35:$H$42,MATCH($L36,$B$35:$B$42,0),MATCH($AO$34,$A$35:$H$35,0))*고양시_Modal_split!D$3 * 0.01</f>
        <v>7.5303767553589012</v>
      </c>
      <c r="AQ36" s="303">
        <f>INDEX($A$35:$H$42,MATCH($L36,$B$35:$B$42,0),MATCH($AO$34,$A$35:$H$35,0))*고양시_Modal_split!E$3 * 0.01</f>
        <v>0.91107471269385798</v>
      </c>
      <c r="AR36" s="303">
        <f>INDEX($A$35:$H$42,MATCH($L36,$B$35:$B$42,0),MATCH($AO$34,$A$35:$H$35,0))*고양시_Modal_split!F$3 * 0.01</f>
        <v>1.4682873665031071</v>
      </c>
      <c r="AS36" s="303">
        <f>INDEX($A$35:$H$42,MATCH($L36,$B$35:$B$42,0),MATCH($AO$34,$A$35:$H$35,0))*고양시_Modal_split!G$3 * 0.01</f>
        <v>0.14730909238635315</v>
      </c>
      <c r="AT36" s="303">
        <f>INDEX($A$35:$H$42,MATCH($L36,$B$35:$B$42,0),MATCH($AO$34,$A$35:$H$35,0))*고양시_Modal_split!H$3 * 0.01</f>
        <v>1.6011857868081867E-3</v>
      </c>
      <c r="AU36" s="303">
        <f>INDEX($A$35:$H$42,MATCH($L36,$B$35:$B$42,0),MATCH($AO$34,$A$35:$H$35,0))*고양시_Modal_split!I$3 * 0.01</f>
        <v>0.44512964873267585</v>
      </c>
      <c r="AV36" s="303">
        <f>INDEX($A$35:$H$42,MATCH($L36,$B$35:$B$42,0),MATCH($AO$34,$A$35:$H$35,0))*고양시_Modal_split!J$3 * 0.01</f>
        <v>4.8740095350441202</v>
      </c>
      <c r="AW36" s="303">
        <f>INDEX($A$35:$H$42,MATCH($L36,$B$35:$B$42,0),MATCH($AO$34,$A$35:$H$35,0))*고양시_Modal_split!K$3 * 0.01</f>
        <v>2.4017786802122798E-2</v>
      </c>
      <c r="AX36" s="303">
        <f>INDEX($A$35:$H$42,MATCH($L36,$B$35:$B$42,0),MATCH($AO$34,$A$35:$H$35,0))*고양시_Modal_split!L$3 * 0.01</f>
        <v>0.48355810761607232</v>
      </c>
      <c r="AY36" s="303">
        <f>INDEX($A$35:$H$42,MATCH($L36,$B$35:$B$42,0),MATCH($AO$34,$A$35:$H$35,0))*고양시_Modal_split!M$3 * 0.01</f>
        <v>3.6827273096588287E-2</v>
      </c>
      <c r="AZ36" s="303">
        <f>INDEX($A$35:$H$42,MATCH($L36,$B$35:$B$42,0),MATCH($AO$34,$A$35:$H$35,0))*고양시_Modal_split!N$3 * 0.01</f>
        <v>1.6011857868081868E-2</v>
      </c>
      <c r="BA36" s="207">
        <f>INDEX($A$35:$H$42,MATCH($L36,$B$35:$B$42,0),MATCH($AO$34,$A$35:$H$35,0))*고양시_Modal_split!O$3 * 0.01</f>
        <v>2.882134416254736E-2</v>
      </c>
      <c r="BB36" s="207">
        <f>INDEX($A$35:$H$42,MATCH($L36,$B$35:$B$42,0),MATCH($AO$34,$A$35:$H$35,0))*고양시_Modal_split!P$3 * 0.01</f>
        <v>16.011857868081865</v>
      </c>
      <c r="BC36" s="207">
        <f>INDEX($A$35:$H$42,MATCH($L36,$B$35:$B$42,0),MATCH($BC$34,$A$35:$H$35,0))*고양시_Modal_split!C$3 * 0.01</f>
        <v>1.2158156482882438E-4</v>
      </c>
      <c r="BD36" s="207">
        <f>INDEX($A$35:$H$42,MATCH($L36,$B$35:$B$42,0),MATCH($BC$34,$A$35:$H$35,0))*고양시_Modal_split!D$3 * 0.01</f>
        <v>2.042136069249861E-2</v>
      </c>
      <c r="BE36" s="207">
        <f>INDEX($A$35:$H$42,MATCH($L36,$B$35:$B$42,0),MATCH($BC$34,$A$35:$H$35,0))*고양시_Modal_split!E$3 * 0.01</f>
        <v>2.4707110852714665E-3</v>
      </c>
      <c r="BF36" s="207">
        <f>INDEX($A$35:$H$42,MATCH($L36,$B$35:$B$42,0),MATCH($BC$34,$A$35:$H$35,0))*고양시_Modal_split!F$3 * 0.01</f>
        <v>3.9817962481439985E-3</v>
      </c>
      <c r="BG36" s="207">
        <f>INDEX($A$35:$H$42,MATCH($L36,$B$35:$B$42,0),MATCH($BC$34,$A$35:$H$35,0))*고양시_Modal_split!G$3 * 0.01</f>
        <v>3.9948228443756578E-4</v>
      </c>
      <c r="BH36" s="207">
        <f>INDEX($A$35:$H$42,MATCH($L36,$B$35:$B$42,0),MATCH($BC$34,$A$35:$H$35,0))*고양시_Modal_split!H$3 * 0.01</f>
        <v>4.342198743886585E-6</v>
      </c>
      <c r="BI36" s="207">
        <f>INDEX($A$35:$H$42,MATCH($L36,$B$35:$B$42,0),MATCH($BC$34,$A$35:$H$35,0))*고양시_Modal_split!I$3 * 0.01</f>
        <v>1.2071312508004706E-3</v>
      </c>
      <c r="BJ36" s="207">
        <f>INDEX($A$35:$H$42,MATCH($L36,$B$35:$B$42,0),MATCH($BC$34,$A$35:$H$35,0))*고양시_Modal_split!J$3 * 0.01</f>
        <v>1.3217652976390767E-2</v>
      </c>
      <c r="BK36" s="207">
        <f>INDEX($A$35:$H$42,MATCH($L36,$B$35:$B$42,0),MATCH($BC$34,$A$35:$H$35,0))*고양시_Modal_split!K$3 * 0.01</f>
        <v>6.5132981158298772E-5</v>
      </c>
      <c r="BL36" s="207">
        <f>INDEX($A$35:$H$42,MATCH($L36,$B$35:$B$42,0),MATCH($BC$34,$A$35:$H$35,0))*고양시_Modal_split!L$3 * 0.01</f>
        <v>1.3113440206537486E-3</v>
      </c>
      <c r="BM36" s="207">
        <f>INDEX($A$35:$H$42,MATCH($L36,$B$35:$B$42,0),MATCH($BC$34,$A$35:$H$35,0))*고양시_Modal_split!M$3 * 0.01</f>
        <v>9.9870571109391445E-5</v>
      </c>
      <c r="BN36" s="207">
        <f>INDEX($A$35:$H$42,MATCH($L36,$B$35:$B$42,0),MATCH($BC$34,$A$35:$H$35,0))*고양시_Modal_split!N$3 * 0.01</f>
        <v>4.3421987438865852E-5</v>
      </c>
      <c r="BO36" s="207">
        <f>INDEX($A$35:$H$42,MATCH($L36,$B$35:$B$42,0),MATCH($BC$34,$A$35:$H$35,0))*고양시_Modal_split!O$3 * 0.01</f>
        <v>7.8159577389958526E-5</v>
      </c>
      <c r="BP36" s="207">
        <f>INDEX($A$35:$H$42,MATCH($L36,$B$35:$B$42,0),MATCH($BC$34,$A$35:$H$35,0))*고양시_Modal_split!P$3 * 0.01</f>
        <v>4.3421987438865849E-2</v>
      </c>
      <c r="BQ36" s="207">
        <f>INDEX($A$35:$H$42,MATCH($L36,$B$35:$B$42,0),MATCH($BQ$34,$A$35:$H$35,0))*고양시_Modal_split!C$3 * 0.01</f>
        <v>3.4448110034833847E-4</v>
      </c>
      <c r="BR36" s="207">
        <f>INDEX($A$35:$H$42,MATCH($L36,$B$35:$B$42,0),MATCH($BQ$34,$A$35:$H$35,0))*고양시_Modal_split!D$3 * 0.01</f>
        <v>5.7860521962079865E-2</v>
      </c>
      <c r="BS36" s="207">
        <f>INDEX($A$35:$H$42,MATCH($L36,$B$35:$B$42,0),MATCH($BQ$34,$A$35:$H$35,0))*고양시_Modal_split!E$3 * 0.01</f>
        <v>7.0003480749358787E-3</v>
      </c>
      <c r="BT36" s="207">
        <f>INDEX($A$35:$H$42,MATCH($L36,$B$35:$B$42,0),MATCH($BQ$34,$A$35:$H$35,0))*고양시_Modal_split!F$3 * 0.01</f>
        <v>1.1281756036408087E-2</v>
      </c>
      <c r="BU36" s="207">
        <f>INDEX($A$35:$H$42,MATCH($L36,$B$35:$B$42,0),MATCH($BQ$34,$A$35:$H$35,0))*고양시_Modal_split!G$3 * 0.01</f>
        <v>1.1318664725731122E-3</v>
      </c>
      <c r="BV36" s="207">
        <f>INDEX($A$35:$H$42,MATCH($L36,$B$35:$B$42,0),MATCH($BQ$34,$A$35:$H$35,0))*고양시_Modal_split!H$3 * 0.01</f>
        <v>1.2302896441012091E-5</v>
      </c>
      <c r="BW36" s="207">
        <f>INDEX($A$35:$H$42,MATCH($L36,$B$35:$B$42,0),MATCH($BQ$34,$A$35:$H$35,0))*고양시_Modal_split!I$3 * 0.01</f>
        <v>3.4202052106013609E-3</v>
      </c>
      <c r="BX36" s="207">
        <f>INDEX($A$35:$H$42,MATCH($L36,$B$35:$B$42,0),MATCH($BQ$34,$A$35:$H$35,0))*고양시_Modal_split!J$3 * 0.01</f>
        <v>3.7450016766440809E-2</v>
      </c>
      <c r="BY36" s="207">
        <f>INDEX($A$35:$H$42,MATCH($L36,$B$35:$B$42,0),MATCH($BQ$34,$A$35:$H$35,0))*고양시_Modal_split!K$3 * 0.01</f>
        <v>1.8454344661518135E-4</v>
      </c>
      <c r="BZ36" s="207">
        <f>INDEX($A$35:$H$42,MATCH($L36,$B$35:$B$42,0),MATCH($BQ$34,$A$35:$H$35,0))*고양시_Modal_split!L$3 * 0.01</f>
        <v>3.7154747251856514E-3</v>
      </c>
      <c r="CA36" s="207">
        <f>INDEX($A$35:$H$42,MATCH($L36,$B$35:$B$42,0),MATCH($BQ$34,$A$35:$H$35,0))*고양시_Modal_split!M$3 * 0.01</f>
        <v>2.8296661814327805E-4</v>
      </c>
      <c r="CB36" s="207">
        <f>INDEX($A$35:$H$42,MATCH($L36,$B$35:$B$42,0),MATCH($BQ$34,$A$35:$H$35,0))*고양시_Modal_split!N$3 * 0.01</f>
        <v>1.230289644101209E-4</v>
      </c>
      <c r="CC36" s="207">
        <f>INDEX($A$35:$H$42,MATCH($L36,$B$35:$B$42,0),MATCH($BQ$34,$A$35:$H$35,0))*고양시_Modal_split!O$3 * 0.01</f>
        <v>2.214521359382176E-4</v>
      </c>
      <c r="CD36" s="207">
        <f>INDEX($A$35:$H$42,MATCH($L36,$B$35:$B$42,0),MATCH($BQ$34,$A$35:$H$35,0))*고양시_Modal_split!P$3 * 0.01</f>
        <v>0.1230289644101209</v>
      </c>
      <c r="CE36" s="304">
        <f>M36+AA36+AO36+BC36+BQ36</f>
        <v>1.1868285768736446</v>
      </c>
      <c r="CF36" s="304">
        <f t="shared" ref="CF36:CR42" si="5">N36+AB36+AP36+BD36+BR36</f>
        <v>199.34481417988397</v>
      </c>
      <c r="CG36" s="304">
        <f t="shared" si="5"/>
        <v>24.118052151467992</v>
      </c>
      <c r="CH36" s="304">
        <f t="shared" si="5"/>
        <v>38.868635892611863</v>
      </c>
      <c r="CI36" s="304">
        <f t="shared" si="5"/>
        <v>3.8995796097276898</v>
      </c>
      <c r="CJ36" s="304">
        <f t="shared" si="5"/>
        <v>4.2386734888344456E-2</v>
      </c>
      <c r="CK36" s="304">
        <f t="shared" si="5"/>
        <v>11.783512298959756</v>
      </c>
      <c r="CL36" s="304">
        <f t="shared" si="5"/>
        <v>129.0252210001205</v>
      </c>
      <c r="CM36" s="304">
        <f t="shared" si="5"/>
        <v>0.63580102332516697</v>
      </c>
      <c r="CN36" s="304">
        <f t="shared" si="5"/>
        <v>12.800793936280025</v>
      </c>
      <c r="CO36" s="304">
        <f t="shared" si="5"/>
        <v>0.97489490243192245</v>
      </c>
      <c r="CP36" s="304">
        <f t="shared" si="5"/>
        <v>0.42386734888344452</v>
      </c>
      <c r="CQ36" s="304">
        <f t="shared" si="5"/>
        <v>0.76296122799020016</v>
      </c>
      <c r="CR36" s="304">
        <f t="shared" si="5"/>
        <v>423.86734888344455</v>
      </c>
      <c r="CS36" s="305">
        <f>H36-CR36</f>
        <v>0</v>
      </c>
      <c r="CV36" s="265"/>
      <c r="CW36" s="265" t="s">
        <v>710</v>
      </c>
      <c r="CX36" s="267">
        <f>INDEX($M$34:$Z$42,MATCH($CW36,$L$34:$L$42,0),MATCH(CX$35,$M$35:$Z$35,0))/INDEX(고양시_재차인원!$D$4:$H$35,MATCH("고양시",고양시_재차인원!$B$4:$B$35,0),MATCH($CX$34,고양시_재차인원!$D$4:$H$4,0))</f>
        <v>19.50665391148058</v>
      </c>
      <c r="CY36" s="267">
        <f>INDEX($M$34:$Z$42,MATCH($CW36,$L$34:$L$42,0),MATCH(CY$35,$M$35:$Z$35,0))/INDEX(고양시_재차인원!$K$4:$O$20,MATCH("경기도",고양시_재차인원!$K$4:$K$20,0),MATCH(CY$35,고양시_재차인원!$K$4:$O$4,0))</f>
        <v>1.6135564279847278E-4</v>
      </c>
      <c r="CZ36" s="267">
        <f>INDEX($M$34:$Z$42,MATCH($CW36,$L$34:$L$42,0),MATCH(CZ$35,$M$35:$Z$35,0))/INDEX(고양시_재차인원!$K$4:$O$20,MATCH("경기도",고양시_재차인원!$K$4:$K$20,0),MATCH(CZ$35,고양시_재차인원!$K$4:$O$4,0))</f>
        <v>4.4856868697975415E-2</v>
      </c>
      <c r="DA36" s="267">
        <f>INDEX($M$34:$Z$42,MATCH($CW36,$L$34:$L$42,0),MATCH(DA$35,$M$35:$Z$35,0))/INDEX(고양시_재차인원!$D$4:$H$35,MATCH("고양시",고양시_재차인원!$B$4:$B$35,0),MATCH($CX$34,고양시_재차인원!$D$4:$H$4,0))</f>
        <v>1.2526067363953082</v>
      </c>
      <c r="DB36" s="267">
        <f>INDEX($AA$34:$AN$42,MATCH($CW36,$L$34:$L$42,0),MATCH(DB$35,$AA$35:$AN$35,0))/INDEX(고양시_재차인원!$D$4:$H$35,MATCH("고양시",고양시_재차인원!$B$4:$B$35,0),MATCH($DB$34,고양시_재차인원!$D$4:$H$4,0))</f>
        <v>120.48844195816471</v>
      </c>
      <c r="DC36" s="267">
        <f>INDEX($AA$34:$AN$42,MATCH($CW36,$L$34:$L$42,0),MATCH(DC$35,$AA$35:$AN$35,0))/INDEX(고양시_재차인원!$K$4:$O$20,MATCH("경기도",고양시_재차인원!$K$4:$K$20,0),MATCH(DC$35,고양시_재차인원!$K$4:$O$4,0))</f>
        <v>1.2547229958382543E-3</v>
      </c>
      <c r="DD36" s="267">
        <f>INDEX($AA$34:$AN$42,MATCH($CW36,$L$34:$L$42,0),MATCH(DD$35,$AA$35:$AN$35,0))/INDEX(고양시_재차인원!$K$4:$O$20,MATCH("경기도",고양시_재차인원!$K$4:$K$20,0),MATCH(DD$35,고양시_재차인원!$K$4:$O$4,0))</f>
        <v>0.34881299284303463</v>
      </c>
      <c r="DE36" s="267">
        <f>INDEX($AA$34:$AN$42,MATCH($CW36,$L$34:$L$42,0),MATCH(DE$35,$AA$35:$AN$35,0))/INDEX(고양시_재차인원!$D$4:$H$35,MATCH("고양시",고양시_재차인원!$B$4:$B$35,0),MATCH($DB$34,고양시_재차인원!$D$4:$H$4,0))</f>
        <v>7.7370847270605454</v>
      </c>
      <c r="DF36" s="267">
        <f>INDEX($AO$34:$BB$42,MATCH($CW36,$L$34:$L$42,0),MATCH(DF$35,$AO$35:$BB$35,0))/INDEX(고양시_재차인원!$D$4:$H$35,MATCH("고양시",고양시_재차인원!$B$4:$B$35,0),MATCH($DF$34,고양시_재차인원!$D$4:$H$4,0))</f>
        <v>5.7925975041222317</v>
      </c>
      <c r="DG36" s="267">
        <f>INDEX($AO$34:$BB$42,MATCH($CW36,$L$34:$L$42,0),MATCH(DG$35,$AO$35:$BB$35,0))/INDEX(고양시_재차인원!$K$4:$O$20,MATCH("경기도",고양시_재차인원!$K$4:$K$20,0),MATCH(DG$35,고양시_재차인원!$K$4:$O$4,0))</f>
        <v>5.5616039833559801E-5</v>
      </c>
      <c r="DH36" s="267">
        <f>INDEX($AO$34:$BB$42,MATCH($CW36,$L$34:$L$42,0),MATCH(DH$35,$AO$35:$BB$35,0))/INDEX(고양시_재차인원!$K$4:$O$20,MATCH("경기도",고양시_재차인원!$K$4:$K$20,0),MATCH(DH$35,고양시_재차인원!$K$4:$O$4,0))</f>
        <v>1.5461259073729623E-2</v>
      </c>
      <c r="DI36" s="267">
        <f>INDEX($AO$34:$BB$42,MATCH($CW36,$L$34:$L$42,0),MATCH(DI$35,$AO$35:$BB$35,0))/INDEX(고양시_재차인원!$D$4:$H$35,MATCH("고양시",고양시_재차인원!$B$4:$B$35,0),MATCH($DF$34,고양시_재차인원!$D$4:$H$4,0))</f>
        <v>0.37196777508928641</v>
      </c>
      <c r="DJ36" s="267">
        <f>INDEX($BC$34:$BP$42,MATCH($CW36,$L$34:$L$42,0),MATCH(DJ$35,$BC$35:$BP$35,0))/INDEX(고양시_재차인원!$D$4:$H$35,MATCH("고양시",고양시_재차인원!$B$4:$B$35,0),MATCH($DJ$34,고양시_재차인원!$D$4:$H$4,0))</f>
        <v>1.5015706391543095E-2</v>
      </c>
      <c r="DK36" s="267">
        <f>INDEX($BC$34:$BP$42,MATCH($CW36,$L$34:$L$42,0),MATCH(DK$35,$BC$35:$BP$35,0))/INDEX(고양시_재차인원!$K$4:$O$20,MATCH("경기도",고양시_재차인원!$K$4:$K$20,0),MATCH(DK$35,고양시_재차인원!$K$4:$O$4,0))</f>
        <v>1.5082315887066987E-7</v>
      </c>
      <c r="DL36" s="267">
        <f>INDEX($BC$34:$BP$42,MATCH($CW36,$L$34:$L$42,0),MATCH(DL$35,$BC$35:$BP$35,0))/INDEX(고양시_재차인원!$K$4:$O$20,MATCH("경기도",고양시_재차인원!$K$4:$K$20,0),MATCH(DL$35,고양시_재차인원!$K$4:$O$4,0))</f>
        <v>4.1928838166046221E-5</v>
      </c>
      <c r="DM36" s="267">
        <f>INDEX($BC$34:$BP$42,MATCH($CW36,$L$34:$L$42,0),MATCH(DM$35,$BC$35:$BP$35,0))/INDEX(고양시_재차인원!$D$4:$H$35,MATCH("고양시",고양시_재차인원!$B$4:$B$35,0),MATCH($DJ$34,고양시_재차인원!$D$4:$H$4,0))</f>
        <v>9.6422354459834445E-4</v>
      </c>
      <c r="DN36" s="267">
        <f>INDEX($BQ$34:$CD$42,MATCH($CW36,$L$34:$L$42,0),MATCH(DN$35,$BQ$35:$CD$35,0))/INDEX(고양시_재차인원!$D$4:$H$35,MATCH("고양시",고양시_재차인원!$B$4:$B$35,0),MATCH($DN$34,고양시_재차인원!$D$4:$H$4,0))</f>
        <v>4.5921049176253864E-2</v>
      </c>
      <c r="DO36" s="267">
        <f>INDEX($BQ$34:$CD$42,MATCH($CW36,$L$34:$L$42,0),MATCH(DO$35,$BQ$35:$CD$35,0))/INDEX(고양시_재차인원!$K$4:$O$20,MATCH("경기도",고양시_재차인원!$K$4:$K$20,0),MATCH(DO$35,고양시_재차인원!$K$4:$O$4,0))</f>
        <v>4.2733228346690142E-7</v>
      </c>
      <c r="DP36" s="267">
        <f>INDEX($BQ$34:$CD$42,MATCH($CW36,$L$34:$L$42,0),MATCH(DP$35,$BQ$35:$CD$35,0))/INDEX(고양시_재차인원!$K$4:$O$20,MATCH("경기도",고양시_재차인원!$K$4:$K$20,0),MATCH(DP$35,고양시_재차인원!$K$4:$O$4,0))</f>
        <v>1.1879837480379858E-4</v>
      </c>
      <c r="DQ36" s="267">
        <f>INDEX($BQ$34:$CD$42,MATCH($CW36,$L$34:$L$42,0),MATCH(DQ$35,$BQ$35:$CD$35,0))/INDEX(고양시_재차인원!$D$4:$H$35,MATCH("고양시",고양시_재차인원!$B$4:$B$35,0),MATCH($DN$34,고양시_재차인원!$D$4:$H$4,0))</f>
        <v>2.9487894644330565E-3</v>
      </c>
      <c r="DR36" s="270">
        <f>CX36+DB36+DF36+DJ36+DN36</f>
        <v>145.84863012933533</v>
      </c>
      <c r="DS36" s="270">
        <f t="shared" ref="DS36:DU42" si="6">CY36+DC36+DG36+DK36+DO36</f>
        <v>1.4722728339126244E-3</v>
      </c>
      <c r="DT36" s="270">
        <f t="shared" si="6"/>
        <v>0.4092918478277095</v>
      </c>
      <c r="DU36" s="270">
        <f t="shared" si="6"/>
        <v>9.3655722515541715</v>
      </c>
      <c r="DW36" s="278"/>
      <c r="DX36" s="278" t="s">
        <v>710</v>
      </c>
      <c r="DY36" s="281">
        <f>DR36+DU36</f>
        <v>155.2142023808895</v>
      </c>
      <c r="DZ36" s="281">
        <f>DS36+DT36</f>
        <v>0.4107641206616221</v>
      </c>
      <c r="EB36" s="278"/>
      <c r="EC36" s="278" t="s">
        <v>12</v>
      </c>
      <c r="ED36" s="281">
        <f>DY36</f>
        <v>155.2142023808895</v>
      </c>
      <c r="EE36" s="281">
        <f t="shared" ref="EE36:EE42" si="7">DZ36</f>
        <v>0.4107641206616221</v>
      </c>
      <c r="EL36" s="420" t="s">
        <v>728</v>
      </c>
      <c r="EM36" s="420"/>
      <c r="EN36" s="420"/>
      <c r="EO36" s="420"/>
      <c r="EP36" s="421">
        <v>849201</v>
      </c>
      <c r="EQ36" s="422">
        <f>ED43</f>
        <v>787.95516197073357</v>
      </c>
      <c r="ER36" s="422">
        <f t="shared" ref="ER36" si="8">EE43</f>
        <v>2.0852712204353341</v>
      </c>
      <c r="ES36">
        <v>0</v>
      </c>
      <c r="EU36" s="306" t="s">
        <v>728</v>
      </c>
      <c r="EV36" s="306"/>
      <c r="EW36" s="306"/>
      <c r="EX36" s="306"/>
      <c r="EY36" s="307">
        <v>849201</v>
      </c>
      <c r="EZ36" s="308">
        <f>EQ36*$EI$29</f>
        <v>787.95516197073357</v>
      </c>
      <c r="FA36" s="308">
        <f t="shared" ref="FA36" si="9">ER36*$EI$29</f>
        <v>2.0852712204353341</v>
      </c>
    </row>
    <row r="37" spans="1:157" ht="25">
      <c r="A37" s="205" t="s">
        <v>700</v>
      </c>
      <c r="B37" s="205" t="s">
        <v>713</v>
      </c>
      <c r="C37" s="400">
        <f>$D9*KTDB_TripDistribution_2040!L$12 * (1+KTDB_발생량도착량_증가율!$C$8) * (1+KTDB_발생량도착량_증가율!$D$7*5) * (1+KTDB_발생량도착량_증가율!$E$7*5) * (1+KTDB_발생량도착량_증가율!$F$7*5)</f>
        <v>88.273928424631492</v>
      </c>
      <c r="D37" s="400">
        <f>$D9*KTDB_TripDistribution_2040!M$12 * (1+KTDB_발생량도착량_증가율!$C$8) * (1+KTDB_발생량도착량_증가율!$D$7*5) * (1+KTDB_발생량도착량_증가율!$E$7*5) * (1+KTDB_발생량도착량_증가율!$F$7*5)</f>
        <v>686.42983912065301</v>
      </c>
      <c r="E37" s="400">
        <f>$D9*KTDB_TripDistribution_2040!N$12 * (1+KTDB_발생량도착량_증가율!$C$8) * (1+KTDB_발생량도착량_증가율!$D$7*5) * (1+KTDB_발생량도착량_증가율!$E$7*5) * (1+KTDB_발생량도착량_증가율!$F$7*5)</f>
        <v>30.426244997584792</v>
      </c>
      <c r="F37" s="400">
        <f>$D9*KTDB_TripDistribution_2040!O$12 * (1+KTDB_발생량도착량_증가율!$C$8) * (1+KTDB_발생량도착량_증가율!$D$7*5) * (1+KTDB_발생량도착량_증가율!$E$7*5) * (1+KTDB_발생량도착량_증가율!$F$7*5)</f>
        <v>8.2511850840907494E-2</v>
      </c>
      <c r="G37" s="400">
        <f>$D9*KTDB_TripDistribution_2040!P$12 * (1+KTDB_발생량도착량_증가율!$C$8) * (1+KTDB_발생량도착량_증가율!$D$7*5) * (1+KTDB_발생량도착량_증가율!$E$7*5) * (1+KTDB_발생량도착량_증가율!$F$7*5)</f>
        <v>0.23378357738257316</v>
      </c>
      <c r="H37" s="400">
        <f>$D9*KTDB_TripDistribution_2040!Q$12 * (1+KTDB_발생량도착량_증가율!$C$8) * (1+KTDB_발생량도착량_증가율!$D$7*5) * (1+KTDB_발생량도착량_증가율!$E$7*5) * (1+KTDB_발생량도착량_증가율!$F$7*5)</f>
        <v>805.44630797109278</v>
      </c>
      <c r="J37" s="230">
        <f t="shared" si="4"/>
        <v>805.44630797109289</v>
      </c>
      <c r="K37" s="206"/>
      <c r="L37" s="206" t="s">
        <v>712</v>
      </c>
      <c r="M37" s="206">
        <f>INDEX($A$35:$H$42,MATCH($L37,$B$35:$B$42,0),MATCH($M$34,$A$35:$H$35,0))*고양시_Modal_split!C$3 * 0.01</f>
        <v>0.24716699958896815</v>
      </c>
      <c r="N37" s="206">
        <f>INDEX($A$35:$H$42,MATCH($L37,$B$35:$B$42,0),MATCH($M$34,$A$35:$H$35,0))*고양시_Modal_split!D$3 * 0.01</f>
        <v>41.515228538104196</v>
      </c>
      <c r="O37" s="206">
        <f>INDEX($A$35:$H$42,MATCH($L37,$B$35:$B$42,0),MATCH($M$34,$A$35:$H$35,0))*고양시_Modal_split!E$3 * 0.01</f>
        <v>5.0227865273615313</v>
      </c>
      <c r="P37" s="206">
        <f>INDEX($A$35:$H$42,MATCH($L37,$B$35:$B$42,0),MATCH($M$34,$A$35:$H$35,0))*고양시_Modal_split!F$3 * 0.01</f>
        <v>8.0947192365387082</v>
      </c>
      <c r="Q37" s="206">
        <f>INDEX($A$35:$H$42,MATCH($L37,$B$35:$B$42,0),MATCH($M$34,$A$35:$H$35,0))*고양시_Modal_split!G$3 * 0.01</f>
        <v>0.81212014150660961</v>
      </c>
      <c r="R37" s="206">
        <f>INDEX($A$35:$H$42,MATCH($L37,$B$35:$B$42,0),MATCH($M$34,$A$35:$H$35,0))*고양시_Modal_split!H$3 * 0.01</f>
        <v>8.8273928424631495E-3</v>
      </c>
      <c r="S37" s="206">
        <f>INDEX($A$35:$H$42,MATCH($L37,$B$35:$B$42,0),MATCH($M$34,$A$35:$H$35,0))*고양시_Modal_split!I$3 * 0.01</f>
        <v>2.4540152102047554</v>
      </c>
      <c r="T37" s="206">
        <f>INDEX($A$35:$H$42,MATCH($L37,$B$35:$B$42,0),MATCH($M$34,$A$35:$H$35,0))*고양시_Modal_split!J$3 * 0.01</f>
        <v>26.870583812457827</v>
      </c>
      <c r="U37" s="206">
        <f>INDEX($A$35:$H$42,MATCH($L37,$B$35:$B$42,0),MATCH($M$34,$A$35:$H$35,0))*고양시_Modal_split!K$3 * 0.01</f>
        <v>0.13241089263694725</v>
      </c>
      <c r="V37" s="206">
        <f>INDEX($A$35:$H$42,MATCH($L37,$B$35:$B$42,0),MATCH($M$34,$A$35:$H$35,0))*고양시_Modal_split!L$3 * 0.01</f>
        <v>2.6658726384238713</v>
      </c>
      <c r="W37" s="206">
        <f>INDEX($A$35:$H$42,MATCH($L37,$B$35:$B$42,0),MATCH($M$34,$A$35:$H$35,0))*고양시_Modal_split!M$3 * 0.01</f>
        <v>0.2030300353766524</v>
      </c>
      <c r="X37" s="206">
        <f>INDEX($A$35:$H$42,MATCH($L37,$B$35:$B$42,0),MATCH($M$34,$A$35:$H$35,0))*고양시_Modal_split!N$3 * 0.01</f>
        <v>8.8273928424631498E-2</v>
      </c>
      <c r="Y37" s="206">
        <f>INDEX($A$35:$H$42,MATCH($L37,$B$35:$B$42,0),MATCH($M$34,$A$35:$H$35,0))*고양시_Modal_split!O$3 * 0.01</f>
        <v>0.15889307116433668</v>
      </c>
      <c r="Z37" s="209">
        <f>INDEX($A$35:$H$42,MATCH($L37,$B$35:$B$42,0),MATCH($M$34,$A$35:$H$35,0))*고양시_Modal_split!P$3 * 0.01</f>
        <v>88.273928424631492</v>
      </c>
      <c r="AA37" s="207">
        <f>INDEX($A$35:$H$42,MATCH($L37,$B$35:$B$42,0),MATCH($AA$34,$A$35:$H$35,0))*고양시_Modal_split!C$3 * 0.01</f>
        <v>1.9220035495378285</v>
      </c>
      <c r="AB37" s="207">
        <f>INDEX($A$35:$H$42,MATCH($L37,$B$35:$B$42,0),MATCH($AA$34,$A$35:$H$35,0))*고양시_Modal_split!D$3 * 0.01</f>
        <v>322.82795333844314</v>
      </c>
      <c r="AC37" s="207">
        <f>INDEX($A$35:$H$42,MATCH($L37,$B$35:$B$42,0),MATCH($AA$34,$A$35:$H$35,0))*고양시_Modal_split!E$3 * 0.01</f>
        <v>39.057857845965152</v>
      </c>
      <c r="AD37" s="207">
        <f>INDEX($A$35:$H$42,MATCH($L37,$B$35:$B$42,0),MATCH($AA$34,$A$35:$H$35,0))*고양시_Modal_split!F$3 * 0.01</f>
        <v>62.94561624736388</v>
      </c>
      <c r="AE37" s="207">
        <f>INDEX($A$35:$H$42,MATCH($L37,$B$35:$B$42,0),MATCH($AA$34,$A$35:$H$35,0))*고양시_Modal_split!G$3 * 0.01</f>
        <v>6.3151545199100081</v>
      </c>
      <c r="AF37" s="207">
        <f>INDEX($A$35:$H$42,MATCH($L37,$B$35:$B$42,0),MATCH($AA$34,$A$35:$H$35,0))*고양시_Modal_split!H$3 * 0.01</f>
        <v>6.8642983912065303E-2</v>
      </c>
      <c r="AG37" s="207">
        <f>INDEX($A$35:$H$42,MATCH($L37,$B$35:$B$42,0),MATCH($AA$34,$A$35:$H$35,0))*고양시_Modal_split!I$3 * 0.01</f>
        <v>19.082749527554153</v>
      </c>
      <c r="AH37" s="207">
        <f>INDEX($A$35:$H$42,MATCH($L37,$B$35:$B$42,0),MATCH($AA$34,$A$35:$H$35,0))*고양시_Modal_split!J$3 * 0.01</f>
        <v>208.94924302832678</v>
      </c>
      <c r="AI37" s="207">
        <f>INDEX($A$35:$H$42,MATCH($L37,$B$35:$B$42,0),MATCH($AA$34,$A$35:$H$35,0))*고양시_Modal_split!K$3 * 0.01</f>
        <v>1.0296447586809796</v>
      </c>
      <c r="AJ37" s="207">
        <f>INDEX($A$35:$H$42,MATCH($L37,$B$35:$B$42,0),MATCH($AA$34,$A$35:$H$35,0))*고양시_Modal_split!L$3 * 0.01</f>
        <v>20.730181141443722</v>
      </c>
      <c r="AK37" s="207">
        <f>INDEX($A$35:$H$42,MATCH($L37,$B$35:$B$42,0),MATCH($AA$34,$A$35:$H$35,0))*고양시_Modal_split!M$3 * 0.01</f>
        <v>1.578788629977502</v>
      </c>
      <c r="AL37" s="207">
        <f>INDEX($A$35:$H$42,MATCH($L37,$B$35:$B$42,0),MATCH($AA$34,$A$35:$H$35,0))*고양시_Modal_split!N$3 * 0.01</f>
        <v>0.68642983912065303</v>
      </c>
      <c r="AM37" s="207">
        <f>INDEX($A$35:$H$42,MATCH($L37,$B$35:$B$42,0),MATCH($AA$34,$A$35:$H$35,0))*고양시_Modal_split!O$3 * 0.01</f>
        <v>1.2355737104171756</v>
      </c>
      <c r="AN37" s="207">
        <f>INDEX($A$35:$H$42,MATCH($L37,$B$35:$B$42,0),MATCH($AA$34,$A$35:$H$35,0))*고양시_Modal_split!P$3 * 0.01</f>
        <v>686.42983912065301</v>
      </c>
      <c r="AO37" s="303">
        <f>INDEX($A$35:$H$42,MATCH($L37,$B$35:$B$42,0),MATCH($AO$34,$A$35:$H$35,0))*고양시_Modal_split!C$3 * 0.01</f>
        <v>8.5193485993237422E-2</v>
      </c>
      <c r="AP37" s="303">
        <f>INDEX($A$35:$H$42,MATCH($L37,$B$35:$B$42,0),MATCH($AO$34,$A$35:$H$35,0))*고양시_Modal_split!D$3 * 0.01</f>
        <v>14.309463022364127</v>
      </c>
      <c r="AQ37" s="303">
        <f>INDEX($A$35:$H$42,MATCH($L37,$B$35:$B$42,0),MATCH($AO$34,$A$35:$H$35,0))*고양시_Modal_split!E$3 * 0.01</f>
        <v>1.7312533403625745</v>
      </c>
      <c r="AR37" s="303">
        <f>INDEX($A$35:$H$42,MATCH($L37,$B$35:$B$42,0),MATCH($AO$34,$A$35:$H$35,0))*고양시_Modal_split!F$3 * 0.01</f>
        <v>2.7900866662785258</v>
      </c>
      <c r="AS37" s="303">
        <f>INDEX($A$35:$H$42,MATCH($L37,$B$35:$B$42,0),MATCH($AO$34,$A$35:$H$35,0))*고양시_Modal_split!G$3 * 0.01</f>
        <v>0.27992145397778007</v>
      </c>
      <c r="AT37" s="303">
        <f>INDEX($A$35:$H$42,MATCH($L37,$B$35:$B$42,0),MATCH($AO$34,$A$35:$H$35,0))*고양시_Modal_split!H$3 * 0.01</f>
        <v>3.0426244997584797E-3</v>
      </c>
      <c r="AU37" s="303">
        <f>INDEX($A$35:$H$42,MATCH($L37,$B$35:$B$42,0),MATCH($AO$34,$A$35:$H$35,0))*고양시_Modal_split!I$3 * 0.01</f>
        <v>0.84584961093285715</v>
      </c>
      <c r="AV37" s="303">
        <f>INDEX($A$35:$H$42,MATCH($L37,$B$35:$B$42,0),MATCH($AO$34,$A$35:$H$35,0))*고양시_Modal_split!J$3 * 0.01</f>
        <v>9.2617489772648121</v>
      </c>
      <c r="AW37" s="303">
        <f>INDEX($A$35:$H$42,MATCH($L37,$B$35:$B$42,0),MATCH($AO$34,$A$35:$H$35,0))*고양시_Modal_split!K$3 * 0.01</f>
        <v>4.5639367496377189E-2</v>
      </c>
      <c r="AX37" s="303">
        <f>INDEX($A$35:$H$42,MATCH($L37,$B$35:$B$42,0),MATCH($AO$34,$A$35:$H$35,0))*고양시_Modal_split!L$3 * 0.01</f>
        <v>0.91887259892706075</v>
      </c>
      <c r="AY37" s="303">
        <f>INDEX($A$35:$H$42,MATCH($L37,$B$35:$B$42,0),MATCH($AO$34,$A$35:$H$35,0))*고양시_Modal_split!M$3 * 0.01</f>
        <v>6.9980363494445016E-2</v>
      </c>
      <c r="AZ37" s="303">
        <f>INDEX($A$35:$H$42,MATCH($L37,$B$35:$B$42,0),MATCH($AO$34,$A$35:$H$35,0))*고양시_Modal_split!N$3 * 0.01</f>
        <v>3.0426244997584794E-2</v>
      </c>
      <c r="BA37" s="207">
        <f>INDEX($A$35:$H$42,MATCH($L37,$B$35:$B$42,0),MATCH($AO$34,$A$35:$H$35,0))*고양시_Modal_split!O$3 * 0.01</f>
        <v>5.4767240995652625E-2</v>
      </c>
      <c r="BB37" s="207">
        <f>INDEX($A$35:$H$42,MATCH($L37,$B$35:$B$42,0),MATCH($AO$34,$A$35:$H$35,0))*고양시_Modal_split!P$3 * 0.01</f>
        <v>30.426244997584792</v>
      </c>
      <c r="BC37" s="207">
        <f>INDEX($A$35:$H$42,MATCH($L37,$B$35:$B$42,0),MATCH($BC$34,$A$35:$H$35,0))*고양시_Modal_split!C$3 * 0.01</f>
        <v>2.3103318235454095E-4</v>
      </c>
      <c r="BD37" s="207">
        <f>INDEX($A$35:$H$42,MATCH($L37,$B$35:$B$42,0),MATCH($BC$34,$A$35:$H$35,0))*고양시_Modal_split!D$3 * 0.01</f>
        <v>3.8805323450478796E-2</v>
      </c>
      <c r="BE37" s="207">
        <f>INDEX($A$35:$H$42,MATCH($L37,$B$35:$B$42,0),MATCH($BC$34,$A$35:$H$35,0))*고양시_Modal_split!E$3 * 0.01</f>
        <v>4.6949243128476363E-3</v>
      </c>
      <c r="BF37" s="207">
        <f>INDEX($A$35:$H$42,MATCH($L37,$B$35:$B$42,0),MATCH($BC$34,$A$35:$H$35,0))*고양시_Modal_split!F$3 * 0.01</f>
        <v>7.5663367221112179E-3</v>
      </c>
      <c r="BG37" s="207">
        <f>INDEX($A$35:$H$42,MATCH($L37,$B$35:$B$42,0),MATCH($BC$34,$A$35:$H$35,0))*고양시_Modal_split!G$3 * 0.01</f>
        <v>7.5910902773634892E-4</v>
      </c>
      <c r="BH37" s="207">
        <f>INDEX($A$35:$H$42,MATCH($L37,$B$35:$B$42,0),MATCH($BC$34,$A$35:$H$35,0))*고양시_Modal_split!H$3 * 0.01</f>
        <v>8.2511850840907498E-6</v>
      </c>
      <c r="BI37" s="207">
        <f>INDEX($A$35:$H$42,MATCH($L37,$B$35:$B$42,0),MATCH($BC$34,$A$35:$H$35,0))*고양시_Modal_split!I$3 * 0.01</f>
        <v>2.2938294533772284E-3</v>
      </c>
      <c r="BJ37" s="207">
        <f>INDEX($A$35:$H$42,MATCH($L37,$B$35:$B$42,0),MATCH($BC$34,$A$35:$H$35,0))*고양시_Modal_split!J$3 * 0.01</f>
        <v>2.5116607395972244E-2</v>
      </c>
      <c r="BK37" s="207">
        <f>INDEX($A$35:$H$42,MATCH($L37,$B$35:$B$42,0),MATCH($BC$34,$A$35:$H$35,0))*고양시_Modal_split!K$3 * 0.01</f>
        <v>1.2376777626136123E-4</v>
      </c>
      <c r="BL37" s="207">
        <f>INDEX($A$35:$H$42,MATCH($L37,$B$35:$B$42,0),MATCH($BC$34,$A$35:$H$35,0))*고양시_Modal_split!L$3 * 0.01</f>
        <v>2.4918578953954064E-3</v>
      </c>
      <c r="BM37" s="207">
        <f>INDEX($A$35:$H$42,MATCH($L37,$B$35:$B$42,0),MATCH($BC$34,$A$35:$H$35,0))*고양시_Modal_split!M$3 * 0.01</f>
        <v>1.8977725693408723E-4</v>
      </c>
      <c r="BN37" s="207">
        <f>INDEX($A$35:$H$42,MATCH($L37,$B$35:$B$42,0),MATCH($BC$34,$A$35:$H$35,0))*고양시_Modal_split!N$3 * 0.01</f>
        <v>8.2511850840907491E-5</v>
      </c>
      <c r="BO37" s="207">
        <f>INDEX($A$35:$H$42,MATCH($L37,$B$35:$B$42,0),MATCH($BC$34,$A$35:$H$35,0))*고양시_Modal_split!O$3 * 0.01</f>
        <v>1.485213315136335E-4</v>
      </c>
      <c r="BP37" s="207">
        <f>INDEX($A$35:$H$42,MATCH($L37,$B$35:$B$42,0),MATCH($BC$34,$A$35:$H$35,0))*고양시_Modal_split!P$3 * 0.01</f>
        <v>8.2511850840907494E-2</v>
      </c>
      <c r="BQ37" s="207">
        <f>INDEX($A$35:$H$42,MATCH($L37,$B$35:$B$42,0),MATCH($BQ$34,$A$35:$H$35,0))*고양시_Modal_split!C$3 * 0.01</f>
        <v>6.5459401667120488E-4</v>
      </c>
      <c r="BR37" s="207">
        <f>INDEX($A$35:$H$42,MATCH($L37,$B$35:$B$42,0),MATCH($BQ$34,$A$35:$H$35,0))*고양시_Modal_split!D$3 * 0.01</f>
        <v>0.10994841644302417</v>
      </c>
      <c r="BS37" s="207">
        <f>INDEX($A$35:$H$42,MATCH($L37,$B$35:$B$42,0),MATCH($BQ$34,$A$35:$H$35,0))*고양시_Modal_split!E$3 * 0.01</f>
        <v>1.3302285553068411E-2</v>
      </c>
      <c r="BT37" s="207">
        <f>INDEX($A$35:$H$42,MATCH($L37,$B$35:$B$42,0),MATCH($BQ$34,$A$35:$H$35,0))*고양시_Modal_split!F$3 * 0.01</f>
        <v>2.1437954045981956E-2</v>
      </c>
      <c r="BU37" s="207">
        <f>INDEX($A$35:$H$42,MATCH($L37,$B$35:$B$42,0),MATCH($BQ$34,$A$35:$H$35,0))*고양시_Modal_split!G$3 * 0.01</f>
        <v>2.1508089119196732E-3</v>
      </c>
      <c r="BV37" s="207">
        <f>INDEX($A$35:$H$42,MATCH($L37,$B$35:$B$42,0),MATCH($BQ$34,$A$35:$H$35,0))*고양시_Modal_split!H$3 * 0.01</f>
        <v>2.3378357738257317E-5</v>
      </c>
      <c r="BW37" s="207">
        <f>INDEX($A$35:$H$42,MATCH($L37,$B$35:$B$42,0),MATCH($BQ$34,$A$35:$H$35,0))*고양시_Modal_split!I$3 * 0.01</f>
        <v>6.4991834512355328E-3</v>
      </c>
      <c r="BX37" s="207">
        <f>INDEX($A$35:$H$42,MATCH($L37,$B$35:$B$42,0),MATCH($BQ$34,$A$35:$H$35,0))*고양시_Modal_split!J$3 * 0.01</f>
        <v>7.1163720955255277E-2</v>
      </c>
      <c r="BY37" s="207">
        <f>INDEX($A$35:$H$42,MATCH($L37,$B$35:$B$42,0),MATCH($BQ$34,$A$35:$H$35,0))*고양시_Modal_split!K$3 * 0.01</f>
        <v>3.506753660738597E-4</v>
      </c>
      <c r="BZ37" s="207">
        <f>INDEX($A$35:$H$42,MATCH($L37,$B$35:$B$42,0),MATCH($BQ$34,$A$35:$H$35,0))*고양시_Modal_split!L$3 * 0.01</f>
        <v>7.0602640369537093E-3</v>
      </c>
      <c r="CA37" s="207">
        <f>INDEX($A$35:$H$42,MATCH($L37,$B$35:$B$42,0),MATCH($BQ$34,$A$35:$H$35,0))*고양시_Modal_split!M$3 * 0.01</f>
        <v>5.3770222797991829E-4</v>
      </c>
      <c r="CB37" s="207">
        <f>INDEX($A$35:$H$42,MATCH($L37,$B$35:$B$42,0),MATCH($BQ$34,$A$35:$H$35,0))*고양시_Modal_split!N$3 * 0.01</f>
        <v>2.337835773825732E-4</v>
      </c>
      <c r="CC37" s="207">
        <f>INDEX($A$35:$H$42,MATCH($L37,$B$35:$B$42,0),MATCH($BQ$34,$A$35:$H$35,0))*고양시_Modal_split!O$3 * 0.01</f>
        <v>4.2081043928863165E-4</v>
      </c>
      <c r="CD37" s="207">
        <f>INDEX($A$35:$H$42,MATCH($L37,$B$35:$B$42,0),MATCH($BQ$34,$A$35:$H$35,0))*고양시_Modal_split!P$3 * 0.01</f>
        <v>0.23378357738257316</v>
      </c>
      <c r="CE37" s="304">
        <f t="shared" ref="CE37:CE42" si="10">M37+AA37+AO37+BC37+BQ37</f>
        <v>2.2552496623190601</v>
      </c>
      <c r="CF37" s="304">
        <f t="shared" si="5"/>
        <v>378.80139863880498</v>
      </c>
      <c r="CG37" s="304">
        <f t="shared" si="5"/>
        <v>45.82989492355518</v>
      </c>
      <c r="CH37" s="304">
        <f t="shared" si="5"/>
        <v>73.859426440949207</v>
      </c>
      <c r="CI37" s="304">
        <f t="shared" si="5"/>
        <v>7.4101060333340536</v>
      </c>
      <c r="CJ37" s="304">
        <f t="shared" si="5"/>
        <v>8.0544630797109273E-2</v>
      </c>
      <c r="CK37" s="304">
        <f t="shared" si="5"/>
        <v>22.391407361596379</v>
      </c>
      <c r="CL37" s="304">
        <f t="shared" si="5"/>
        <v>245.17785614640064</v>
      </c>
      <c r="CM37" s="304">
        <f t="shared" si="5"/>
        <v>1.208169461956639</v>
      </c>
      <c r="CN37" s="304">
        <f t="shared" si="5"/>
        <v>24.324478500727004</v>
      </c>
      <c r="CO37" s="304">
        <f t="shared" si="5"/>
        <v>1.8525265083335134</v>
      </c>
      <c r="CP37" s="304">
        <f t="shared" si="5"/>
        <v>0.80544630797109296</v>
      </c>
      <c r="CQ37" s="304">
        <f t="shared" si="5"/>
        <v>1.4498033543479669</v>
      </c>
      <c r="CR37" s="304">
        <f t="shared" si="5"/>
        <v>805.44630797109289</v>
      </c>
      <c r="CS37" s="305">
        <f t="shared" ref="CS37:CS42" si="11">H37-CR37</f>
        <v>0</v>
      </c>
      <c r="CV37" s="265"/>
      <c r="CW37" s="265" t="s">
        <v>712</v>
      </c>
      <c r="CX37" s="267">
        <f>INDEX($M$34:$Z$42,MATCH($CW37,$L$34:$L$42,0),MATCH(CX$35,$M$35:$Z$35,0))/INDEX(고양시_재차인원!$D$4:$H$35,MATCH("고양시",고양시_재차인원!$B$4:$B$35,0),MATCH($CX$34,고양시_재차인원!$D$4:$H$4,0))</f>
        <v>37.067168337593031</v>
      </c>
      <c r="CY37" s="267">
        <f>INDEX($M$34:$Z$42,MATCH($CW37,$L$34:$L$42,0),MATCH(CY$35,$M$35:$Z$35,0))/INDEX(고양시_재차인원!$K$4:$O$20,MATCH("경기도",고양시_재차인원!$K$4:$K$20,0),MATCH(CY$35,고양시_재차인원!$K$4:$O$4,0))</f>
        <v>3.0661315882122783E-4</v>
      </c>
      <c r="CZ37" s="267">
        <f>INDEX($M$34:$Z$42,MATCH($CW37,$L$34:$L$42,0),MATCH(CZ$35,$M$35:$Z$35,0))/INDEX(고양시_재차인원!$K$4:$O$20,MATCH("경기도",고양시_재차인원!$K$4:$K$20,0),MATCH(CZ$35,고양시_재차인원!$K$4:$O$4,0))</f>
        <v>8.5238458152301341E-2</v>
      </c>
      <c r="DA37" s="267">
        <f>INDEX($M$34:$Z$42,MATCH($CW37,$L$34:$L$42,0),MATCH(DA$35,$M$35:$Z$35,0))/INDEX(고양시_재차인원!$D$4:$H$35,MATCH("고양시",고양시_재차인원!$B$4:$B$35,0),MATCH($CX$34,고양시_재차인원!$D$4:$H$4,0))</f>
        <v>2.3802434271641708</v>
      </c>
      <c r="DB37" s="267">
        <f>INDEX($AA$34:$AN$42,MATCH($CW37,$L$34:$L$42,0),MATCH(DB$35,$AA$35:$AN$35,0))/INDEX(고양시_재차인원!$D$4:$H$35,MATCH("고양시",고양시_재차인원!$B$4:$B$35,0),MATCH($DB$34,고양시_재차인원!$D$4:$H$4,0))</f>
        <v>228.9559952754916</v>
      </c>
      <c r="DC37" s="267">
        <f>INDEX($AA$34:$AN$42,MATCH($CW37,$L$34:$L$42,0),MATCH(DC$35,$AA$35:$AN$35,0))/INDEX(고양시_재차인원!$K$4:$O$20,MATCH("경기도",고양시_재차인원!$K$4:$K$20,0),MATCH(DC$35,고양시_재차인원!$K$4:$O$4,0))</f>
        <v>2.384264811117239E-3</v>
      </c>
      <c r="DD37" s="267">
        <f>INDEX($AA$34:$AN$42,MATCH($CW37,$L$34:$L$42,0),MATCH(DD$35,$AA$35:$AN$35,0))/INDEX(고양시_재차인원!$K$4:$O$20,MATCH("경기도",고양시_재차인원!$K$4:$K$20,0),MATCH(DD$35,고양시_재차인원!$K$4:$O$4,0))</f>
        <v>0.66282561749059232</v>
      </c>
      <c r="DE37" s="267">
        <f>INDEX($AA$34:$AN$42,MATCH($CW37,$L$34:$L$42,0),MATCH(DE$35,$AA$35:$AN$35,0))/INDEX(고양시_재차인원!$D$4:$H$35,MATCH("고양시",고양시_재차인원!$B$4:$B$35,0),MATCH($DB$34,고양시_재차인원!$D$4:$H$4,0))</f>
        <v>14.702256128683493</v>
      </c>
      <c r="DF37" s="267">
        <f>INDEX($AO$34:$BB$42,MATCH($CW37,$L$34:$L$42,0),MATCH(DF$35,$AO$35:$BB$35,0))/INDEX(고양시_재차인원!$D$4:$H$35,MATCH("고양시",고양시_재차인원!$B$4:$B$35,0),MATCH($DF$34,고양시_재차인원!$D$4:$H$4,0))</f>
        <v>11.007279247972406</v>
      </c>
      <c r="DG37" s="267">
        <f>INDEX($AO$34:$BB$42,MATCH($CW37,$L$34:$L$42,0),MATCH(DG$35,$AO$35:$BB$35,0))/INDEX(고양시_재차인원!$K$4:$O$20,MATCH("경기도",고양시_재차인원!$K$4:$K$20,0),MATCH(DG$35,고양시_재차인원!$K$4:$O$4,0))</f>
        <v>1.0568337963732128E-4</v>
      </c>
      <c r="DH37" s="267">
        <f>INDEX($AO$34:$BB$42,MATCH($CW37,$L$34:$L$42,0),MATCH(DH$35,$AO$35:$BB$35,0))/INDEX(고양시_재차인원!$K$4:$O$20,MATCH("경기도",고양시_재차인원!$K$4:$K$20,0),MATCH(DH$35,고양시_재차인원!$K$4:$O$4,0))</f>
        <v>2.9379979539175309E-2</v>
      </c>
      <c r="DI37" s="267">
        <f>INDEX($AO$34:$BB$42,MATCH($CW37,$L$34:$L$42,0),MATCH(DI$35,$AO$35:$BB$35,0))/INDEX(고양시_재차인원!$D$4:$H$35,MATCH("고양시",고양시_재차인원!$B$4:$B$35,0),MATCH($DF$34,고양시_재차인원!$D$4:$H$4,0))</f>
        <v>0.70682507609773904</v>
      </c>
      <c r="DJ37" s="267">
        <f>INDEX($BC$34:$BP$42,MATCH($CW37,$L$34:$L$42,0),MATCH(DJ$35,$BC$35:$BP$35,0))/INDEX(고양시_재차인원!$D$4:$H$35,MATCH("고양시",고양시_재차인원!$B$4:$B$35,0),MATCH($DJ$34,고양시_재차인원!$D$4:$H$4,0))</f>
        <v>2.8533326066528523E-2</v>
      </c>
      <c r="DK37" s="267">
        <f>INDEX($BC$34:$BP$42,MATCH($CW37,$L$34:$L$42,0),MATCH(DK$35,$BC$35:$BP$35,0))/INDEX(고양시_재차인원!$K$4:$O$20,MATCH("경기도",고양시_재차인원!$K$4:$K$20,0),MATCH(DK$35,고양시_재차인원!$K$4:$O$4,0))</f>
        <v>2.8659899562663253E-7</v>
      </c>
      <c r="DL37" s="267">
        <f>INDEX($BC$34:$BP$42,MATCH($CW37,$L$34:$L$42,0),MATCH(DL$35,$BC$35:$BP$35,0))/INDEX(고양시_재차인원!$K$4:$O$20,MATCH("경기도",고양시_재차인원!$K$4:$K$20,0),MATCH(DL$35,고양시_재차인원!$K$4:$O$4,0))</f>
        <v>7.967452078420383E-5</v>
      </c>
      <c r="DM37" s="267">
        <f>INDEX($BC$34:$BP$42,MATCH($CW37,$L$34:$L$42,0),MATCH(DM$35,$BC$35:$BP$35,0))/INDEX(고양시_재차인원!$D$4:$H$35,MATCH("고양시",고양시_재차인원!$B$4:$B$35,0),MATCH($DJ$34,고양시_재차인원!$D$4:$H$4,0))</f>
        <v>1.8322484524966223E-3</v>
      </c>
      <c r="DN37" s="267">
        <f>INDEX($BQ$34:$CD$42,MATCH($CW37,$L$34:$L$42,0),MATCH(DN$35,$BQ$35:$CD$35,0))/INDEX(고양시_재차인원!$D$4:$H$35,MATCH("고양시",고양시_재차인원!$B$4:$B$35,0),MATCH($DN$34,고양시_재차인원!$D$4:$H$4,0))</f>
        <v>8.7260647970654096E-2</v>
      </c>
      <c r="DO37" s="267">
        <f>INDEX($BQ$34:$CD$42,MATCH($CW37,$L$34:$L$42,0),MATCH(DO$35,$BQ$35:$CD$35,0))/INDEX(고양시_재차인원!$K$4:$O$20,MATCH("경기도",고양시_재차인원!$K$4:$K$20,0),MATCH(DO$35,고양시_재차인원!$K$4:$O$4,0))</f>
        <v>8.1203048760879886E-7</v>
      </c>
      <c r="DP37" s="267">
        <f>INDEX($BQ$34:$CD$42,MATCH($CW37,$L$34:$L$42,0),MATCH(DP$35,$BQ$35:$CD$35,0))/INDEX(고양시_재차인원!$K$4:$O$20,MATCH("경기도",고양시_재차인원!$K$4:$K$20,0),MATCH(DP$35,고양시_재차인원!$K$4:$O$4,0))</f>
        <v>2.2574447555524603E-4</v>
      </c>
      <c r="DQ37" s="267">
        <f>INDEX($BQ$34:$CD$42,MATCH($CW37,$L$34:$L$42,0),MATCH(DQ$35,$BQ$35:$CD$35,0))/INDEX(고양시_재차인원!$D$4:$H$35,MATCH("고양시",고양시_재차인원!$B$4:$B$35,0),MATCH($DN$34,고양시_재차인원!$D$4:$H$4,0))</f>
        <v>5.6033841563124676E-3</v>
      </c>
      <c r="DR37" s="270">
        <f t="shared" ref="DR37:DR42" si="12">CX37+DB37+DF37+DJ37+DN37</f>
        <v>277.14623683509421</v>
      </c>
      <c r="DS37" s="270">
        <f t="shared" si="6"/>
        <v>2.7976599790590232E-3</v>
      </c>
      <c r="DT37" s="270">
        <f t="shared" si="6"/>
        <v>0.77774947417840834</v>
      </c>
      <c r="DU37" s="270">
        <f t="shared" si="6"/>
        <v>17.796760264554212</v>
      </c>
      <c r="DW37" s="278"/>
      <c r="DX37" s="278" t="s">
        <v>712</v>
      </c>
      <c r="DY37" s="281">
        <f t="shared" ref="DY37:DY42" si="13">DR37+DU37</f>
        <v>294.94299709964844</v>
      </c>
      <c r="DZ37" s="281">
        <f t="shared" ref="DZ37:DZ42" si="14">DS37+DT37</f>
        <v>0.78054713415746735</v>
      </c>
      <c r="EB37" s="278"/>
      <c r="EC37" s="278" t="s">
        <v>667</v>
      </c>
      <c r="ED37" s="281">
        <f t="shared" ref="ED37:ED42" si="15">DY37</f>
        <v>294.94299709964844</v>
      </c>
      <c r="EE37" s="281">
        <f t="shared" si="7"/>
        <v>0.78054713415746735</v>
      </c>
    </row>
    <row r="38" spans="1:157" ht="37.5">
      <c r="A38" s="205" t="s">
        <v>700</v>
      </c>
      <c r="B38" s="205" t="s">
        <v>715</v>
      </c>
      <c r="C38" s="400">
        <f>$D10*KTDB_TripDistribution_2040!L$12 * (1+KTDB_발생량도착량_증가율!$C$8) * (1+KTDB_발생량도착량_증가율!$D$7*5) * (1+KTDB_발생량도착량_증가율!$E$7*5) * (1+KTDB_발생량도착량_증가율!$F$7*5)</f>
        <v>16.92186417908076</v>
      </c>
      <c r="D38" s="400">
        <f>$D10*KTDB_TripDistribution_2040!M$12 * (1+KTDB_발생량도착량_증가율!$C$8) * (1+KTDB_발생량도착량_증가율!$D$7*5) * (1+KTDB_발생량도착량_증가율!$E$7*5) * (1+KTDB_발생량도착량_증가율!$F$7*5)</f>
        <v>131.58667245658427</v>
      </c>
      <c r="E38" s="400">
        <f>$D10*KTDB_TripDistribution_2040!N$12 * (1+KTDB_발생량도착량_증가율!$C$8) * (1+KTDB_발생량도착량_증가율!$D$7*5) * (1+KTDB_발생량도착량_증가율!$E$7*5) * (1+KTDB_발생량도착량_증가율!$F$7*5)</f>
        <v>5.8326257199277318</v>
      </c>
      <c r="F38" s="400">
        <f>$D10*KTDB_TripDistribution_2040!O$12 * (1+KTDB_발생량도착량_증가율!$C$8) * (1+KTDB_발생량도착량_증가율!$D$7*5) * (1+KTDB_발생량도착량_증가율!$E$7*5) * (1+KTDB_발생량도착량_증가율!$F$7*5)</f>
        <v>1.5817290087939532E-2</v>
      </c>
      <c r="G38" s="400">
        <f>$D10*KTDB_TripDistribution_2040!P$12 * (1+KTDB_발생량도착량_증가율!$C$8) * (1+KTDB_발생량도착량_증가율!$D$7*5) * (1+KTDB_발생량도착량_증가율!$E$7*5) * (1+KTDB_발생량도착량_증가율!$F$7*5)</f>
        <v>4.4815655249162367E-2</v>
      </c>
      <c r="H38" s="400">
        <f>$D10*KTDB_TripDistribution_2040!Q$12 * (1+KTDB_발생량도착량_증가율!$C$8) * (1+KTDB_발생량도착량_증가율!$D$7*5) * (1+KTDB_발생량도착량_증가율!$E$7*5) * (1+KTDB_발생량도착량_증가율!$F$7*5)</f>
        <v>154.40179530092988</v>
      </c>
      <c r="J38" s="230">
        <f t="shared" si="4"/>
        <v>154.40179530092985</v>
      </c>
      <c r="K38" s="206"/>
      <c r="L38" s="206" t="s">
        <v>714</v>
      </c>
      <c r="M38" s="206">
        <f>INDEX($A$35:$H$42,MATCH($L38,$B$35:$B$42,0),MATCH($M$34,$A$35:$H$35,0))*고양시_Modal_split!C$3 * 0.01</f>
        <v>4.7381219701426121E-2</v>
      </c>
      <c r="N38" s="206">
        <f>INDEX($A$35:$H$42,MATCH($L38,$B$35:$B$42,0),MATCH($M$34,$A$35:$H$35,0))*고양시_Modal_split!D$3 * 0.01</f>
        <v>7.9583527234216822</v>
      </c>
      <c r="O38" s="206">
        <f>INDEX($A$35:$H$42,MATCH($L38,$B$35:$B$42,0),MATCH($M$34,$A$35:$H$35,0))*고양시_Modal_split!E$3 * 0.01</f>
        <v>0.96285407178969529</v>
      </c>
      <c r="P38" s="206">
        <f>INDEX($A$35:$H$42,MATCH($L38,$B$35:$B$42,0),MATCH($M$34,$A$35:$H$35,0))*고양시_Modal_split!F$3 * 0.01</f>
        <v>1.5517349452217055</v>
      </c>
      <c r="Q38" s="206">
        <f>INDEX($A$35:$H$42,MATCH($L38,$B$35:$B$42,0),MATCH($M$34,$A$35:$H$35,0))*고양시_Modal_split!G$3 * 0.01</f>
        <v>0.15568115044754299</v>
      </c>
      <c r="R38" s="206">
        <f>INDEX($A$35:$H$42,MATCH($L38,$B$35:$B$42,0),MATCH($M$34,$A$35:$H$35,0))*고양시_Modal_split!H$3 * 0.01</f>
        <v>1.6921864179080762E-3</v>
      </c>
      <c r="S38" s="206">
        <f>INDEX($A$35:$H$42,MATCH($L38,$B$35:$B$42,0),MATCH($M$34,$A$35:$H$35,0))*고양시_Modal_split!I$3 * 0.01</f>
        <v>0.47042782417844514</v>
      </c>
      <c r="T38" s="206">
        <f>INDEX($A$35:$H$42,MATCH($L38,$B$35:$B$42,0),MATCH($M$34,$A$35:$H$35,0))*고양시_Modal_split!J$3 * 0.01</f>
        <v>5.1510154561121837</v>
      </c>
      <c r="U38" s="206">
        <f>INDEX($A$35:$H$42,MATCH($L38,$B$35:$B$42,0),MATCH($M$34,$A$35:$H$35,0))*고양시_Modal_split!K$3 * 0.01</f>
        <v>2.5382796268621138E-2</v>
      </c>
      <c r="V38" s="206">
        <f>INDEX($A$35:$H$42,MATCH($L38,$B$35:$B$42,0),MATCH($M$34,$A$35:$H$35,0))*고양시_Modal_split!L$3 * 0.01</f>
        <v>0.51104029820823893</v>
      </c>
      <c r="W38" s="206">
        <f>INDEX($A$35:$H$42,MATCH($L38,$B$35:$B$42,0),MATCH($M$34,$A$35:$H$35,0))*고양시_Modal_split!M$3 * 0.01</f>
        <v>3.8920287611885748E-2</v>
      </c>
      <c r="X38" s="206">
        <f>INDEX($A$35:$H$42,MATCH($L38,$B$35:$B$42,0),MATCH($M$34,$A$35:$H$35,0))*고양시_Modal_split!N$3 * 0.01</f>
        <v>1.6921864179080762E-2</v>
      </c>
      <c r="Y38" s="206">
        <f>INDEX($A$35:$H$42,MATCH($L38,$B$35:$B$42,0),MATCH($M$34,$A$35:$H$35,0))*고양시_Modal_split!O$3 * 0.01</f>
        <v>3.0459355522345369E-2</v>
      </c>
      <c r="Z38" s="209">
        <f>INDEX($A$35:$H$42,MATCH($L38,$B$35:$B$42,0),MATCH($M$34,$A$35:$H$35,0))*고양시_Modal_split!P$3 * 0.01</f>
        <v>16.92186417908076</v>
      </c>
      <c r="AA38" s="207">
        <f>INDEX($A$35:$H$42,MATCH($L38,$B$35:$B$42,0),MATCH($AA$34,$A$35:$H$35,0))*고양시_Modal_split!C$3 * 0.01</f>
        <v>0.3684426828784359</v>
      </c>
      <c r="AB38" s="207">
        <f>INDEX($A$35:$H$42,MATCH($L38,$B$35:$B$42,0),MATCH($AA$34,$A$35:$H$35,0))*고양시_Modal_split!D$3 * 0.01</f>
        <v>61.885212056331582</v>
      </c>
      <c r="AC38" s="207">
        <f>INDEX($A$35:$H$42,MATCH($L38,$B$35:$B$42,0),MATCH($AA$34,$A$35:$H$35,0))*고양시_Modal_split!E$3 * 0.01</f>
        <v>7.4872816627796439</v>
      </c>
      <c r="AD38" s="207">
        <f>INDEX($A$35:$H$42,MATCH($L38,$B$35:$B$42,0),MATCH($AA$34,$A$35:$H$35,0))*고양시_Modal_split!F$3 * 0.01</f>
        <v>12.066497864268777</v>
      </c>
      <c r="AE38" s="207">
        <f>INDEX($A$35:$H$42,MATCH($L38,$B$35:$B$42,0),MATCH($AA$34,$A$35:$H$35,0))*고양시_Modal_split!G$3 * 0.01</f>
        <v>1.2105973866005753</v>
      </c>
      <c r="AF38" s="207">
        <f>INDEX($A$35:$H$42,MATCH($L38,$B$35:$B$42,0),MATCH($AA$34,$A$35:$H$35,0))*고양시_Modal_split!H$3 * 0.01</f>
        <v>1.3158667245658427E-2</v>
      </c>
      <c r="AG38" s="207">
        <f>INDEX($A$35:$H$42,MATCH($L38,$B$35:$B$42,0),MATCH($AA$34,$A$35:$H$35,0))*고양시_Modal_split!I$3 * 0.01</f>
        <v>3.6581094942930426</v>
      </c>
      <c r="AH38" s="207">
        <f>INDEX($A$35:$H$42,MATCH($L38,$B$35:$B$42,0),MATCH($AA$34,$A$35:$H$35,0))*고양시_Modal_split!J$3 * 0.01</f>
        <v>40.054983095784252</v>
      </c>
      <c r="AI38" s="207">
        <f>INDEX($A$35:$H$42,MATCH($L38,$B$35:$B$42,0),MATCH($AA$34,$A$35:$H$35,0))*고양시_Modal_split!K$3 * 0.01</f>
        <v>0.1973800086848764</v>
      </c>
      <c r="AJ38" s="207">
        <f>INDEX($A$35:$H$42,MATCH($L38,$B$35:$B$42,0),MATCH($AA$34,$A$35:$H$35,0))*고양시_Modal_split!L$3 * 0.01</f>
        <v>3.9739175081888449</v>
      </c>
      <c r="AK38" s="207">
        <f>INDEX($A$35:$H$42,MATCH($L38,$B$35:$B$42,0),MATCH($AA$34,$A$35:$H$35,0))*고양시_Modal_split!M$3 * 0.01</f>
        <v>0.30264934665014381</v>
      </c>
      <c r="AL38" s="207">
        <f>INDEX($A$35:$H$42,MATCH($L38,$B$35:$B$42,0),MATCH($AA$34,$A$35:$H$35,0))*고양시_Modal_split!N$3 * 0.01</f>
        <v>0.13158667245658429</v>
      </c>
      <c r="AM38" s="207">
        <f>INDEX($A$35:$H$42,MATCH($L38,$B$35:$B$42,0),MATCH($AA$34,$A$35:$H$35,0))*고양시_Modal_split!O$3 * 0.01</f>
        <v>0.23685601042185167</v>
      </c>
      <c r="AN38" s="207">
        <f>INDEX($A$35:$H$42,MATCH($L38,$B$35:$B$42,0),MATCH($AA$34,$A$35:$H$35,0))*고양시_Modal_split!P$3 * 0.01</f>
        <v>131.58667245658427</v>
      </c>
      <c r="AO38" s="303">
        <f>INDEX($A$35:$H$42,MATCH($L38,$B$35:$B$42,0),MATCH($AO$34,$A$35:$H$35,0))*고양시_Modal_split!C$3 * 0.01</f>
        <v>1.6331352015797648E-2</v>
      </c>
      <c r="AP38" s="303">
        <f>INDEX($A$35:$H$42,MATCH($L38,$B$35:$B$42,0),MATCH($AO$34,$A$35:$H$35,0))*고양시_Modal_split!D$3 * 0.01</f>
        <v>2.7430838760820127</v>
      </c>
      <c r="AQ38" s="303">
        <f>INDEX($A$35:$H$42,MATCH($L38,$B$35:$B$42,0),MATCH($AO$34,$A$35:$H$35,0))*고양시_Modal_split!E$3 * 0.01</f>
        <v>0.33187640346388791</v>
      </c>
      <c r="AR38" s="303">
        <f>INDEX($A$35:$H$42,MATCH($L38,$B$35:$B$42,0),MATCH($AO$34,$A$35:$H$35,0))*고양시_Modal_split!F$3 * 0.01</f>
        <v>0.53485177851737298</v>
      </c>
      <c r="AS38" s="303">
        <f>INDEX($A$35:$H$42,MATCH($L38,$B$35:$B$42,0),MATCH($AO$34,$A$35:$H$35,0))*고양시_Modal_split!G$3 * 0.01</f>
        <v>5.3660156623335127E-2</v>
      </c>
      <c r="AT38" s="303">
        <f>INDEX($A$35:$H$42,MATCH($L38,$B$35:$B$42,0),MATCH($AO$34,$A$35:$H$35,0))*고양시_Modal_split!H$3 * 0.01</f>
        <v>5.8326257199277321E-4</v>
      </c>
      <c r="AU38" s="303">
        <f>INDEX($A$35:$H$42,MATCH($L38,$B$35:$B$42,0),MATCH($AO$34,$A$35:$H$35,0))*고양시_Modal_split!I$3 * 0.01</f>
        <v>0.16214699501399094</v>
      </c>
      <c r="AV38" s="303">
        <f>INDEX($A$35:$H$42,MATCH($L38,$B$35:$B$42,0),MATCH($AO$34,$A$35:$H$35,0))*고양시_Modal_split!J$3 * 0.01</f>
        <v>1.7754512691460016</v>
      </c>
      <c r="AW38" s="303">
        <f>INDEX($A$35:$H$42,MATCH($L38,$B$35:$B$42,0),MATCH($AO$34,$A$35:$H$35,0))*고양시_Modal_split!K$3 * 0.01</f>
        <v>8.7489385798915978E-3</v>
      </c>
      <c r="AX38" s="303">
        <f>INDEX($A$35:$H$42,MATCH($L38,$B$35:$B$42,0),MATCH($AO$34,$A$35:$H$35,0))*고양시_Modal_split!L$3 * 0.01</f>
        <v>0.1761452967418175</v>
      </c>
      <c r="AY38" s="303">
        <f>INDEX($A$35:$H$42,MATCH($L38,$B$35:$B$42,0),MATCH($AO$34,$A$35:$H$35,0))*고양시_Modal_split!M$3 * 0.01</f>
        <v>1.3415039155833782E-2</v>
      </c>
      <c r="AZ38" s="303">
        <f>INDEX($A$35:$H$42,MATCH($L38,$B$35:$B$42,0),MATCH($AO$34,$A$35:$H$35,0))*고양시_Modal_split!N$3 * 0.01</f>
        <v>5.8326257199277321E-3</v>
      </c>
      <c r="BA38" s="207">
        <f>INDEX($A$35:$H$42,MATCH($L38,$B$35:$B$42,0),MATCH($AO$34,$A$35:$H$35,0))*고양시_Modal_split!O$3 * 0.01</f>
        <v>1.0498726295869919E-2</v>
      </c>
      <c r="BB38" s="207">
        <f>INDEX($A$35:$H$42,MATCH($L38,$B$35:$B$42,0),MATCH($AO$34,$A$35:$H$35,0))*고양시_Modal_split!P$3 * 0.01</f>
        <v>5.8326257199277318</v>
      </c>
      <c r="BC38" s="207">
        <f>INDEX($A$35:$H$42,MATCH($L38,$B$35:$B$42,0),MATCH($BC$34,$A$35:$H$35,0))*고양시_Modal_split!C$3 * 0.01</f>
        <v>4.4288412246230689E-5</v>
      </c>
      <c r="BD38" s="207">
        <f>INDEX($A$35:$H$42,MATCH($L38,$B$35:$B$42,0),MATCH($BC$34,$A$35:$H$35,0))*고양시_Modal_split!D$3 * 0.01</f>
        <v>7.4388715283579621E-3</v>
      </c>
      <c r="BE38" s="207">
        <f>INDEX($A$35:$H$42,MATCH($L38,$B$35:$B$42,0),MATCH($BC$34,$A$35:$H$35,0))*고양시_Modal_split!E$3 * 0.01</f>
        <v>9.0000380600375931E-4</v>
      </c>
      <c r="BF38" s="207">
        <f>INDEX($A$35:$H$42,MATCH($L38,$B$35:$B$42,0),MATCH($BC$34,$A$35:$H$35,0))*고양시_Modal_split!F$3 * 0.01</f>
        <v>1.4504455010640551E-3</v>
      </c>
      <c r="BG38" s="207">
        <f>INDEX($A$35:$H$42,MATCH($L38,$B$35:$B$42,0),MATCH($BC$34,$A$35:$H$35,0))*고양시_Modal_split!G$3 * 0.01</f>
        <v>1.4551906880904368E-4</v>
      </c>
      <c r="BH38" s="207">
        <f>INDEX($A$35:$H$42,MATCH($L38,$B$35:$B$42,0),MATCH($BC$34,$A$35:$H$35,0))*고양시_Modal_split!H$3 * 0.01</f>
        <v>1.5817290087939532E-6</v>
      </c>
      <c r="BI38" s="207">
        <f>INDEX($A$35:$H$42,MATCH($L38,$B$35:$B$42,0),MATCH($BC$34,$A$35:$H$35,0))*고양시_Modal_split!I$3 * 0.01</f>
        <v>4.3972066444471897E-4</v>
      </c>
      <c r="BJ38" s="207">
        <f>INDEX($A$35:$H$42,MATCH($L38,$B$35:$B$42,0),MATCH($BC$34,$A$35:$H$35,0))*고양시_Modal_split!J$3 * 0.01</f>
        <v>4.8147831027687939E-3</v>
      </c>
      <c r="BK38" s="207">
        <f>INDEX($A$35:$H$42,MATCH($L38,$B$35:$B$42,0),MATCH($BC$34,$A$35:$H$35,0))*고양시_Modal_split!K$3 * 0.01</f>
        <v>2.3725935131909296E-5</v>
      </c>
      <c r="BL38" s="207">
        <f>INDEX($A$35:$H$42,MATCH($L38,$B$35:$B$42,0),MATCH($BC$34,$A$35:$H$35,0))*고양시_Modal_split!L$3 * 0.01</f>
        <v>4.7768216065577389E-4</v>
      </c>
      <c r="BM38" s="207">
        <f>INDEX($A$35:$H$42,MATCH($L38,$B$35:$B$42,0),MATCH($BC$34,$A$35:$H$35,0))*고양시_Modal_split!M$3 * 0.01</f>
        <v>3.637976720226092E-5</v>
      </c>
      <c r="BN38" s="207">
        <f>INDEX($A$35:$H$42,MATCH($L38,$B$35:$B$42,0),MATCH($BC$34,$A$35:$H$35,0))*고양시_Modal_split!N$3 * 0.01</f>
        <v>1.5817290087939531E-5</v>
      </c>
      <c r="BO38" s="207">
        <f>INDEX($A$35:$H$42,MATCH($L38,$B$35:$B$42,0),MATCH($BC$34,$A$35:$H$35,0))*고양시_Modal_split!O$3 * 0.01</f>
        <v>2.8471122158291155E-5</v>
      </c>
      <c r="BP38" s="207">
        <f>INDEX($A$35:$H$42,MATCH($L38,$B$35:$B$42,0),MATCH($BC$34,$A$35:$H$35,0))*고양시_Modal_split!P$3 * 0.01</f>
        <v>1.5817290087939532E-2</v>
      </c>
      <c r="BQ38" s="207">
        <f>INDEX($A$35:$H$42,MATCH($L38,$B$35:$B$42,0),MATCH($BQ$34,$A$35:$H$35,0))*고양시_Modal_split!C$3 * 0.01</f>
        <v>1.254838346976546E-4</v>
      </c>
      <c r="BR38" s="207">
        <f>INDEX($A$35:$H$42,MATCH($L38,$B$35:$B$42,0),MATCH($BQ$34,$A$35:$H$35,0))*고양시_Modal_split!D$3 * 0.01</f>
        <v>2.107680266368106E-2</v>
      </c>
      <c r="BS38" s="207">
        <f>INDEX($A$35:$H$42,MATCH($L38,$B$35:$B$42,0),MATCH($BQ$34,$A$35:$H$35,0))*고양시_Modal_split!E$3 * 0.01</f>
        <v>2.5500107836773384E-3</v>
      </c>
      <c r="BT38" s="207">
        <f>INDEX($A$35:$H$42,MATCH($L38,$B$35:$B$42,0),MATCH($BQ$34,$A$35:$H$35,0))*고양시_Modal_split!F$3 * 0.01</f>
        <v>4.1095955863481894E-3</v>
      </c>
      <c r="BU38" s="207">
        <f>INDEX($A$35:$H$42,MATCH($L38,$B$35:$B$42,0),MATCH($BQ$34,$A$35:$H$35,0))*고양시_Modal_split!G$3 * 0.01</f>
        <v>4.1230402829229375E-4</v>
      </c>
      <c r="BV38" s="207">
        <f>INDEX($A$35:$H$42,MATCH($L38,$B$35:$B$42,0),MATCH($BQ$34,$A$35:$H$35,0))*고양시_Modal_split!H$3 * 0.01</f>
        <v>4.4815655249162367E-6</v>
      </c>
      <c r="BW38" s="207">
        <f>INDEX($A$35:$H$42,MATCH($L38,$B$35:$B$42,0),MATCH($BQ$34,$A$35:$H$35,0))*고양시_Modal_split!I$3 * 0.01</f>
        <v>1.2458752159267138E-3</v>
      </c>
      <c r="BX38" s="207">
        <f>INDEX($A$35:$H$42,MATCH($L38,$B$35:$B$42,0),MATCH($BQ$34,$A$35:$H$35,0))*고양시_Modal_split!J$3 * 0.01</f>
        <v>1.3641885457845025E-2</v>
      </c>
      <c r="BY38" s="207">
        <f>INDEX($A$35:$H$42,MATCH($L38,$B$35:$B$42,0),MATCH($BQ$34,$A$35:$H$35,0))*고양시_Modal_split!K$3 * 0.01</f>
        <v>6.7223482873743544E-5</v>
      </c>
      <c r="BZ38" s="207">
        <f>INDEX($A$35:$H$42,MATCH($L38,$B$35:$B$42,0),MATCH($BQ$34,$A$35:$H$35,0))*고양시_Modal_split!L$3 * 0.01</f>
        <v>1.3534327885247035E-3</v>
      </c>
      <c r="CA38" s="207">
        <f>INDEX($A$35:$H$42,MATCH($L38,$B$35:$B$42,0),MATCH($BQ$34,$A$35:$H$35,0))*고양시_Modal_split!M$3 * 0.01</f>
        <v>1.0307600707307344E-4</v>
      </c>
      <c r="CB38" s="207">
        <f>INDEX($A$35:$H$42,MATCH($L38,$B$35:$B$42,0),MATCH($BQ$34,$A$35:$H$35,0))*고양시_Modal_split!N$3 * 0.01</f>
        <v>4.4815655249162374E-5</v>
      </c>
      <c r="CC38" s="207">
        <f>INDEX($A$35:$H$42,MATCH($L38,$B$35:$B$42,0),MATCH($BQ$34,$A$35:$H$35,0))*고양시_Modal_split!O$3 * 0.01</f>
        <v>8.066817944849226E-5</v>
      </c>
      <c r="CD38" s="207">
        <f>INDEX($A$35:$H$42,MATCH($L38,$B$35:$B$42,0),MATCH($BQ$34,$A$35:$H$35,0))*고양시_Modal_split!P$3 * 0.01</f>
        <v>4.4815655249162367E-2</v>
      </c>
      <c r="CE38" s="304">
        <f t="shared" si="10"/>
        <v>0.4323250268426036</v>
      </c>
      <c r="CF38" s="304">
        <f t="shared" si="5"/>
        <v>72.615164330027326</v>
      </c>
      <c r="CG38" s="304">
        <f t="shared" si="5"/>
        <v>8.7854621526229089</v>
      </c>
      <c r="CH38" s="304">
        <f t="shared" si="5"/>
        <v>14.158644629095267</v>
      </c>
      <c r="CI38" s="304">
        <f t="shared" si="5"/>
        <v>1.420496516768555</v>
      </c>
      <c r="CJ38" s="304">
        <f t="shared" si="5"/>
        <v>1.5440179530092987E-2</v>
      </c>
      <c r="CK38" s="304">
        <f t="shared" si="5"/>
        <v>4.2923699093658501</v>
      </c>
      <c r="CL38" s="304">
        <f t="shared" si="5"/>
        <v>46.999906489603049</v>
      </c>
      <c r="CM38" s="304">
        <f t="shared" si="5"/>
        <v>0.2316026929513948</v>
      </c>
      <c r="CN38" s="304">
        <f t="shared" si="5"/>
        <v>4.6629342180880826</v>
      </c>
      <c r="CO38" s="304">
        <f t="shared" si="5"/>
        <v>0.35512412919213876</v>
      </c>
      <c r="CP38" s="304">
        <f t="shared" si="5"/>
        <v>0.15440179530092987</v>
      </c>
      <c r="CQ38" s="304">
        <f t="shared" si="5"/>
        <v>0.27792323154167375</v>
      </c>
      <c r="CR38" s="304">
        <f t="shared" si="5"/>
        <v>154.40179530092985</v>
      </c>
      <c r="CS38" s="305">
        <f t="shared" si="11"/>
        <v>0</v>
      </c>
      <c r="CV38" s="265"/>
      <c r="CW38" s="265" t="s">
        <v>714</v>
      </c>
      <c r="CX38" s="267">
        <f>INDEX($M$34:$Z$42,MATCH($CW38,$L$34:$L$42,0),MATCH(CX$35,$M$35:$Z$35,0))/INDEX(고양시_재차인원!$D$4:$H$35,MATCH("고양시",고양시_재차인원!$B$4:$B$35,0),MATCH($CX$34,고양시_재차인원!$D$4:$H$4,0))</f>
        <v>7.1056720744836444</v>
      </c>
      <c r="CY38" s="267">
        <f>INDEX($M$34:$Z$42,MATCH($CW38,$L$34:$L$42,0),MATCH(CY$35,$M$35:$Z$35,0))/INDEX(고양시_재차인원!$K$4:$O$20,MATCH("경기도",고양시_재차인원!$K$4:$K$20,0),MATCH(CY$35,고양시_재차인원!$K$4:$O$4,0))</f>
        <v>5.8776881483434396E-5</v>
      </c>
      <c r="CZ38" s="267">
        <f>INDEX($M$34:$Z$42,MATCH($CW38,$L$34:$L$42,0),MATCH(CZ$35,$M$35:$Z$35,0))/INDEX(고양시_재차인원!$K$4:$O$20,MATCH("경기도",고양시_재차인원!$K$4:$K$20,0),MATCH(CZ$35,고양시_재차인원!$K$4:$O$4,0))</f>
        <v>1.6339973052394759E-2</v>
      </c>
      <c r="DA38" s="267">
        <f>INDEX($M$34:$Z$42,MATCH($CW38,$L$34:$L$42,0),MATCH(DA$35,$M$35:$Z$35,0))/INDEX(고양시_재차인원!$D$4:$H$35,MATCH("고양시",고양시_재차인원!$B$4:$B$35,0),MATCH($CX$34,고양시_재차인원!$D$4:$H$4,0))</f>
        <v>0.45628598054307046</v>
      </c>
      <c r="DB38" s="267">
        <f>INDEX($AA$34:$AN$42,MATCH($CW38,$L$34:$L$42,0),MATCH(DB$35,$AA$35:$AN$35,0))/INDEX(고양시_재차인원!$D$4:$H$35,MATCH("고양시",고양시_재차인원!$B$4:$B$35,0),MATCH($DB$34,고양시_재차인원!$D$4:$H$4,0))</f>
        <v>43.890221316547226</v>
      </c>
      <c r="DC38" s="267">
        <f>INDEX($AA$34:$AN$42,MATCH($CW38,$L$34:$L$42,0),MATCH(DC$35,$AA$35:$AN$35,0))/INDEX(고양시_재차인원!$K$4:$O$20,MATCH("경기도",고양시_재차인원!$K$4:$K$20,0),MATCH(DC$35,고양시_재차인원!$K$4:$O$4,0))</f>
        <v>4.5705686855360985E-4</v>
      </c>
      <c r="DD38" s="267">
        <f>INDEX($AA$34:$AN$42,MATCH($CW38,$L$34:$L$42,0),MATCH(DD$35,$AA$35:$AN$35,0))/INDEX(고양시_재차인원!$K$4:$O$20,MATCH("경기도",고양시_재차인원!$K$4:$K$20,0),MATCH(DD$35,고양시_재차인원!$K$4:$O$4,0))</f>
        <v>0.12706180945790352</v>
      </c>
      <c r="DE38" s="267">
        <f>INDEX($AA$34:$AN$42,MATCH($CW38,$L$34:$L$42,0),MATCH(DE$35,$AA$35:$AN$35,0))/INDEX(고양시_재차인원!$D$4:$H$35,MATCH("고양시",고양시_재차인원!$B$4:$B$35,0),MATCH($DB$34,고양시_재차인원!$D$4:$H$4,0))</f>
        <v>2.8183812114814506</v>
      </c>
      <c r="DF38" s="267">
        <f>INDEX($AO$34:$BB$42,MATCH($CW38,$L$34:$L$42,0),MATCH(DF$35,$AO$35:$BB$35,0))/INDEX(고양시_재차인원!$D$4:$H$35,MATCH("고양시",고양시_재차인원!$B$4:$B$35,0),MATCH($DF$34,고양시_재차인원!$D$4:$H$4,0))</f>
        <v>2.1100645200630868</v>
      </c>
      <c r="DG38" s="267">
        <f>INDEX($AO$34:$BB$42,MATCH($CW38,$L$34:$L$42,0),MATCH(DG$35,$AO$35:$BB$35,0))/INDEX(고양시_재차인원!$K$4:$O$20,MATCH("경기도",고양시_재차인원!$K$4:$K$20,0),MATCH(DG$35,고양시_재차인원!$K$4:$O$4,0))</f>
        <v>2.025920708554266E-5</v>
      </c>
      <c r="DH38" s="267">
        <f>INDEX($AO$34:$BB$42,MATCH($CW38,$L$34:$L$42,0),MATCH(DH$35,$AO$35:$BB$35,0))/INDEX(고양시_재차인원!$K$4:$O$20,MATCH("경기도",고양시_재차인원!$K$4:$K$20,0),MATCH(DH$35,고양시_재차인원!$K$4:$O$4,0))</f>
        <v>5.6320595697808597E-3</v>
      </c>
      <c r="DI38" s="267">
        <f>INDEX($AO$34:$BB$42,MATCH($CW38,$L$34:$L$42,0),MATCH(DI$35,$AO$35:$BB$35,0))/INDEX(고양시_재차인원!$D$4:$H$35,MATCH("고양시",고양시_재차인원!$B$4:$B$35,0),MATCH($DF$34,고양시_재차인원!$D$4:$H$4,0))</f>
        <v>0.13549638210909037</v>
      </c>
      <c r="DJ38" s="267">
        <f>INDEX($BC$34:$BP$42,MATCH($CW38,$L$34:$L$42,0),MATCH(DJ$35,$BC$35:$BP$35,0))/INDEX(고양시_재차인원!$D$4:$H$35,MATCH("고양시",고양시_재차인원!$B$4:$B$35,0),MATCH($DJ$34,고양시_재차인원!$D$4:$H$4,0))</f>
        <v>5.4697584767337956E-3</v>
      </c>
      <c r="DK38" s="267">
        <f>INDEX($BC$34:$BP$42,MATCH($CW38,$L$34:$L$42,0),MATCH(DK$35,$BC$35:$BP$35,0))/INDEX(고양시_재차인원!$K$4:$O$20,MATCH("경기도",고양시_재차인원!$K$4:$K$20,0),MATCH(DK$35,고양시_재차인원!$K$4:$O$4,0))</f>
        <v>5.4940222604861177E-8</v>
      </c>
      <c r="DL38" s="267">
        <f>INDEX($BC$34:$BP$42,MATCH($CW38,$L$34:$L$42,0),MATCH(DL$35,$BC$35:$BP$35,0))/INDEX(고양시_재차인원!$K$4:$O$20,MATCH("경기도",고양시_재차인원!$K$4:$K$20,0),MATCH(DL$35,고양시_재차인원!$K$4:$O$4,0))</f>
        <v>1.5273381884151405E-5</v>
      </c>
      <c r="DM38" s="267">
        <f>INDEX($BC$34:$BP$42,MATCH($CW38,$L$34:$L$42,0),MATCH(DM$35,$BC$35:$BP$35,0))/INDEX(고양시_재차인원!$D$4:$H$35,MATCH("고양시",고양시_재차인원!$B$4:$B$35,0),MATCH($DJ$34,고양시_재차인원!$D$4:$H$4,0))</f>
        <v>3.5123688283512786E-4</v>
      </c>
      <c r="DN38" s="267">
        <f>INDEX($BQ$34:$CD$42,MATCH($CW38,$L$34:$L$42,0),MATCH(DN$35,$BQ$35:$CD$35,0))/INDEX(고양시_재차인원!$D$4:$H$35,MATCH("고양시",고양시_재차인원!$B$4:$B$35,0),MATCH($DN$34,고양시_재차인원!$D$4:$H$4,0))</f>
        <v>1.6727621161651635E-2</v>
      </c>
      <c r="DO38" s="267">
        <f>INDEX($BQ$34:$CD$42,MATCH($CW38,$L$34:$L$42,0),MATCH(DO$35,$BQ$35:$CD$35,0))/INDEX(고양시_재차인원!$K$4:$O$20,MATCH("경기도",고양시_재차인원!$K$4:$K$20,0),MATCH(DO$35,고양시_재차인원!$K$4:$O$4,0))</f>
        <v>1.5566396404710791E-7</v>
      </c>
      <c r="DP38" s="267">
        <f>INDEX($BQ$34:$CD$42,MATCH($CW38,$L$34:$L$42,0),MATCH(DP$35,$BQ$35:$CD$35,0))/INDEX(고양시_재차인원!$K$4:$O$20,MATCH("경기도",고양시_재차인원!$K$4:$K$20,0),MATCH(DP$35,고양시_재차인원!$K$4:$O$4,0))</f>
        <v>4.3274582005095999E-5</v>
      </c>
      <c r="DQ38" s="267">
        <f>INDEX($BQ$34:$CD$42,MATCH($CW38,$L$34:$L$42,0),MATCH(DQ$35,$BQ$35:$CD$35,0))/INDEX(고양시_재차인원!$D$4:$H$35,MATCH("고양시",고양시_재차인원!$B$4:$B$35,0),MATCH($DN$34,고양시_재차인원!$D$4:$H$4,0))</f>
        <v>1.0741530067656377E-3</v>
      </c>
      <c r="DR38" s="270">
        <f t="shared" si="12"/>
        <v>53.128155290732337</v>
      </c>
      <c r="DS38" s="270">
        <f t="shared" si="6"/>
        <v>5.363035613092388E-4</v>
      </c>
      <c r="DT38" s="270">
        <f t="shared" si="6"/>
        <v>0.14909239004396838</v>
      </c>
      <c r="DU38" s="270">
        <f t="shared" si="6"/>
        <v>3.4115889640232124</v>
      </c>
      <c r="DW38" s="278"/>
      <c r="DX38" s="278" t="s">
        <v>714</v>
      </c>
      <c r="DY38" s="281">
        <f t="shared" si="13"/>
        <v>56.539744254755547</v>
      </c>
      <c r="DZ38" s="281">
        <f t="shared" si="14"/>
        <v>0.14962869360527761</v>
      </c>
      <c r="EB38" s="278"/>
      <c r="EC38" s="278" t="s">
        <v>669</v>
      </c>
      <c r="ED38" s="281">
        <f t="shared" si="15"/>
        <v>56.539744254755547</v>
      </c>
      <c r="EE38" s="281">
        <f t="shared" si="7"/>
        <v>0.14962869360527761</v>
      </c>
    </row>
    <row r="39" spans="1:157" ht="37.5">
      <c r="A39" s="205" t="s">
        <v>702</v>
      </c>
      <c r="B39" s="205" t="s">
        <v>719</v>
      </c>
      <c r="C39" s="400">
        <f>$D11*KTDB_TripDistribution_2040!L$12 * (1+KTDB_발생량도착량_증가율!$C$8) * (1+KTDB_발생량도착량_증가율!$D$7*5) * (1+KTDB_발생량도착량_증가율!$E$7*5) * (1+KTDB_발생량도착량_증가율!$F$7*5)</f>
        <v>0</v>
      </c>
      <c r="D39" s="400">
        <f>$D11*KTDB_TripDistribution_2040!M$12 * (1+KTDB_발생량도착량_증가율!$C$8) * (1+KTDB_발생량도착량_증가율!$D$7*5) * (1+KTDB_발생량도착량_증가율!$E$7*5) * (1+KTDB_발생량도착량_증가율!$F$7*5)</f>
        <v>0</v>
      </c>
      <c r="E39" s="400">
        <f>$D11*KTDB_TripDistribution_2040!N$12 * (1+KTDB_발생량도착량_증가율!$C$8) * (1+KTDB_발생량도착량_증가율!$D$7*5) * (1+KTDB_발생량도착량_증가율!$E$7*5) * (1+KTDB_발생량도착량_증가율!$F$7*5)</f>
        <v>0</v>
      </c>
      <c r="F39" s="400">
        <f>$D11*KTDB_TripDistribution_2040!O$12 * (1+KTDB_발생량도착량_증가율!$C$8) * (1+KTDB_발생량도착량_증가율!$D$7*5) * (1+KTDB_발생량도착량_증가율!$E$7*5) * (1+KTDB_발생량도착량_증가율!$F$7*5)</f>
        <v>0</v>
      </c>
      <c r="G39" s="400">
        <f>$D11*KTDB_TripDistribution_2040!P$12 * (1+KTDB_발생량도착량_증가율!$C$8) * (1+KTDB_발생량도착량_증가율!$D$7*5) * (1+KTDB_발생량도착량_증가율!$E$7*5) * (1+KTDB_발생량도착량_증가율!$F$7*5)</f>
        <v>0</v>
      </c>
      <c r="H39" s="400">
        <f>$D11*KTDB_TripDistribution_2040!Q$12 * (1+KTDB_발생량도착량_증가율!$C$8) * (1+KTDB_발생량도착량_증가율!$D$7*5) * (1+KTDB_발생량도착량_증가율!$E$7*5) * (1+KTDB_발생량도착량_증가율!$F$7*5)</f>
        <v>0</v>
      </c>
      <c r="J39" s="230">
        <f t="shared" si="4"/>
        <v>0</v>
      </c>
      <c r="K39" s="206"/>
      <c r="L39" s="206" t="s">
        <v>718</v>
      </c>
      <c r="M39" s="206">
        <f>INDEX($A$35:$H$42,MATCH($L39,$B$35:$B$42,0),MATCH($M$34,$A$35:$H$35,0))*고양시_Modal_split!C$3 * 0.01</f>
        <v>0</v>
      </c>
      <c r="N39" s="206">
        <f>INDEX($A$35:$H$42,MATCH($L39,$B$35:$B$42,0),MATCH($M$34,$A$35:$H$35,0))*고양시_Modal_split!D$3 * 0.01</f>
        <v>0</v>
      </c>
      <c r="O39" s="206">
        <f>INDEX($A$35:$H$42,MATCH($L39,$B$35:$B$42,0),MATCH($M$34,$A$35:$H$35,0))*고양시_Modal_split!E$3 * 0.01</f>
        <v>0</v>
      </c>
      <c r="P39" s="206">
        <f>INDEX($A$35:$H$42,MATCH($L39,$B$35:$B$42,0),MATCH($M$34,$A$35:$H$35,0))*고양시_Modal_split!F$3 * 0.01</f>
        <v>0</v>
      </c>
      <c r="Q39" s="206">
        <f>INDEX($A$35:$H$42,MATCH($L39,$B$35:$B$42,0),MATCH($M$34,$A$35:$H$35,0))*고양시_Modal_split!G$3 * 0.01</f>
        <v>0</v>
      </c>
      <c r="R39" s="206">
        <f>INDEX($A$35:$H$42,MATCH($L39,$B$35:$B$42,0),MATCH($M$34,$A$35:$H$35,0))*고양시_Modal_split!H$3 * 0.01</f>
        <v>0</v>
      </c>
      <c r="S39" s="206">
        <f>INDEX($A$35:$H$42,MATCH($L39,$B$35:$B$42,0),MATCH($M$34,$A$35:$H$35,0))*고양시_Modal_split!I$3 * 0.01</f>
        <v>0</v>
      </c>
      <c r="T39" s="206">
        <f>INDEX($A$35:$H$42,MATCH($L39,$B$35:$B$42,0),MATCH($M$34,$A$35:$H$35,0))*고양시_Modal_split!J$3 * 0.01</f>
        <v>0</v>
      </c>
      <c r="U39" s="206">
        <f>INDEX($A$35:$H$42,MATCH($L39,$B$35:$B$42,0),MATCH($M$34,$A$35:$H$35,0))*고양시_Modal_split!K$3 * 0.01</f>
        <v>0</v>
      </c>
      <c r="V39" s="206">
        <f>INDEX($A$35:$H$42,MATCH($L39,$B$35:$B$42,0),MATCH($M$34,$A$35:$H$35,0))*고양시_Modal_split!L$3 * 0.01</f>
        <v>0</v>
      </c>
      <c r="W39" s="206">
        <f>INDEX($A$35:$H$42,MATCH($L39,$B$35:$B$42,0),MATCH($M$34,$A$35:$H$35,0))*고양시_Modal_split!M$3 * 0.01</f>
        <v>0</v>
      </c>
      <c r="X39" s="206">
        <f>INDEX($A$35:$H$42,MATCH($L39,$B$35:$B$42,0),MATCH($M$34,$A$35:$H$35,0))*고양시_Modal_split!N$3 * 0.01</f>
        <v>0</v>
      </c>
      <c r="Y39" s="206">
        <f>INDEX($A$35:$H$42,MATCH($L39,$B$35:$B$42,0),MATCH($M$34,$A$35:$H$35,0))*고양시_Modal_split!O$3 * 0.01</f>
        <v>0</v>
      </c>
      <c r="Z39" s="209">
        <f>INDEX($A$35:$H$42,MATCH($L39,$B$35:$B$42,0),MATCH($M$34,$A$35:$H$35,0))*고양시_Modal_split!P$3 * 0.01</f>
        <v>0</v>
      </c>
      <c r="AA39" s="207">
        <f>INDEX($A$35:$H$42,MATCH($L39,$B$35:$B$42,0),MATCH($AA$34,$A$35:$H$35,0))*고양시_Modal_split!C$3 * 0.01</f>
        <v>0</v>
      </c>
      <c r="AB39" s="207">
        <f>INDEX($A$35:$H$42,MATCH($L39,$B$35:$B$42,0),MATCH($AA$34,$A$35:$H$35,0))*고양시_Modal_split!D$3 * 0.01</f>
        <v>0</v>
      </c>
      <c r="AC39" s="207">
        <f>INDEX($A$35:$H$42,MATCH($L39,$B$35:$B$42,0),MATCH($AA$34,$A$35:$H$35,0))*고양시_Modal_split!E$3 * 0.01</f>
        <v>0</v>
      </c>
      <c r="AD39" s="207">
        <f>INDEX($A$35:$H$42,MATCH($L39,$B$35:$B$42,0),MATCH($AA$34,$A$35:$H$35,0))*고양시_Modal_split!F$3 * 0.01</f>
        <v>0</v>
      </c>
      <c r="AE39" s="207">
        <f>INDEX($A$35:$H$42,MATCH($L39,$B$35:$B$42,0),MATCH($AA$34,$A$35:$H$35,0))*고양시_Modal_split!G$3 * 0.01</f>
        <v>0</v>
      </c>
      <c r="AF39" s="207">
        <f>INDEX($A$35:$H$42,MATCH($L39,$B$35:$B$42,0),MATCH($AA$34,$A$35:$H$35,0))*고양시_Modal_split!H$3 * 0.01</f>
        <v>0</v>
      </c>
      <c r="AG39" s="207">
        <f>INDEX($A$35:$H$42,MATCH($L39,$B$35:$B$42,0),MATCH($AA$34,$A$35:$H$35,0))*고양시_Modal_split!I$3 * 0.01</f>
        <v>0</v>
      </c>
      <c r="AH39" s="207">
        <f>INDEX($A$35:$H$42,MATCH($L39,$B$35:$B$42,0),MATCH($AA$34,$A$35:$H$35,0))*고양시_Modal_split!J$3 * 0.01</f>
        <v>0</v>
      </c>
      <c r="AI39" s="207">
        <f>INDEX($A$35:$H$42,MATCH($L39,$B$35:$B$42,0),MATCH($AA$34,$A$35:$H$35,0))*고양시_Modal_split!K$3 * 0.01</f>
        <v>0</v>
      </c>
      <c r="AJ39" s="207">
        <f>INDEX($A$35:$H$42,MATCH($L39,$B$35:$B$42,0),MATCH($AA$34,$A$35:$H$35,0))*고양시_Modal_split!L$3 * 0.01</f>
        <v>0</v>
      </c>
      <c r="AK39" s="207">
        <f>INDEX($A$35:$H$42,MATCH($L39,$B$35:$B$42,0),MATCH($AA$34,$A$35:$H$35,0))*고양시_Modal_split!M$3 * 0.01</f>
        <v>0</v>
      </c>
      <c r="AL39" s="207">
        <f>INDEX($A$35:$H$42,MATCH($L39,$B$35:$B$42,0),MATCH($AA$34,$A$35:$H$35,0))*고양시_Modal_split!N$3 * 0.01</f>
        <v>0</v>
      </c>
      <c r="AM39" s="207">
        <f>INDEX($A$35:$H$42,MATCH($L39,$B$35:$B$42,0),MATCH($AA$34,$A$35:$H$35,0))*고양시_Modal_split!O$3 * 0.01</f>
        <v>0</v>
      </c>
      <c r="AN39" s="207">
        <f>INDEX($A$35:$H$42,MATCH($L39,$B$35:$B$42,0),MATCH($AA$34,$A$35:$H$35,0))*고양시_Modal_split!P$3 * 0.01</f>
        <v>0</v>
      </c>
      <c r="AO39" s="303">
        <f>INDEX($A$35:$H$42,MATCH($L39,$B$35:$B$42,0),MATCH($AO$34,$A$35:$H$35,0))*고양시_Modal_split!C$3 * 0.01</f>
        <v>0</v>
      </c>
      <c r="AP39" s="303">
        <f>INDEX($A$35:$H$42,MATCH($L39,$B$35:$B$42,0),MATCH($AO$34,$A$35:$H$35,0))*고양시_Modal_split!D$3 * 0.01</f>
        <v>0</v>
      </c>
      <c r="AQ39" s="303">
        <f>INDEX($A$35:$H$42,MATCH($L39,$B$35:$B$42,0),MATCH($AO$34,$A$35:$H$35,0))*고양시_Modal_split!E$3 * 0.01</f>
        <v>0</v>
      </c>
      <c r="AR39" s="303">
        <f>INDEX($A$35:$H$42,MATCH($L39,$B$35:$B$42,0),MATCH($AO$34,$A$35:$H$35,0))*고양시_Modal_split!F$3 * 0.01</f>
        <v>0</v>
      </c>
      <c r="AS39" s="303">
        <f>INDEX($A$35:$H$42,MATCH($L39,$B$35:$B$42,0),MATCH($AO$34,$A$35:$H$35,0))*고양시_Modal_split!G$3 * 0.01</f>
        <v>0</v>
      </c>
      <c r="AT39" s="303">
        <f>INDEX($A$35:$H$42,MATCH($L39,$B$35:$B$42,0),MATCH($AO$34,$A$35:$H$35,0))*고양시_Modal_split!H$3 * 0.01</f>
        <v>0</v>
      </c>
      <c r="AU39" s="303">
        <f>INDEX($A$35:$H$42,MATCH($L39,$B$35:$B$42,0),MATCH($AO$34,$A$35:$H$35,0))*고양시_Modal_split!I$3 * 0.01</f>
        <v>0</v>
      </c>
      <c r="AV39" s="303">
        <f>INDEX($A$35:$H$42,MATCH($L39,$B$35:$B$42,0),MATCH($AO$34,$A$35:$H$35,0))*고양시_Modal_split!J$3 * 0.01</f>
        <v>0</v>
      </c>
      <c r="AW39" s="303">
        <f>INDEX($A$35:$H$42,MATCH($L39,$B$35:$B$42,0),MATCH($AO$34,$A$35:$H$35,0))*고양시_Modal_split!K$3 * 0.01</f>
        <v>0</v>
      </c>
      <c r="AX39" s="303">
        <f>INDEX($A$35:$H$42,MATCH($L39,$B$35:$B$42,0),MATCH($AO$34,$A$35:$H$35,0))*고양시_Modal_split!L$3 * 0.01</f>
        <v>0</v>
      </c>
      <c r="AY39" s="303">
        <f>INDEX($A$35:$H$42,MATCH($L39,$B$35:$B$42,0),MATCH($AO$34,$A$35:$H$35,0))*고양시_Modal_split!M$3 * 0.01</f>
        <v>0</v>
      </c>
      <c r="AZ39" s="303">
        <f>INDEX($A$35:$H$42,MATCH($L39,$B$35:$B$42,0),MATCH($AO$34,$A$35:$H$35,0))*고양시_Modal_split!N$3 * 0.01</f>
        <v>0</v>
      </c>
      <c r="BA39" s="207">
        <f>INDEX($A$35:$H$42,MATCH($L39,$B$35:$B$42,0),MATCH($AO$34,$A$35:$H$35,0))*고양시_Modal_split!O$3 * 0.01</f>
        <v>0</v>
      </c>
      <c r="BB39" s="207">
        <f>INDEX($A$35:$H$42,MATCH($L39,$B$35:$B$42,0),MATCH($AO$34,$A$35:$H$35,0))*고양시_Modal_split!P$3 * 0.01</f>
        <v>0</v>
      </c>
      <c r="BC39" s="207">
        <f>INDEX($A$35:$H$42,MATCH($L39,$B$35:$B$42,0),MATCH($BC$34,$A$35:$H$35,0))*고양시_Modal_split!C$3 * 0.01</f>
        <v>0</v>
      </c>
      <c r="BD39" s="207">
        <f>INDEX($A$35:$H$42,MATCH($L39,$B$35:$B$42,0),MATCH($BC$34,$A$35:$H$35,0))*고양시_Modal_split!D$3 * 0.01</f>
        <v>0</v>
      </c>
      <c r="BE39" s="207">
        <f>INDEX($A$35:$H$42,MATCH($L39,$B$35:$B$42,0),MATCH($BC$34,$A$35:$H$35,0))*고양시_Modal_split!E$3 * 0.01</f>
        <v>0</v>
      </c>
      <c r="BF39" s="207">
        <f>INDEX($A$35:$H$42,MATCH($L39,$B$35:$B$42,0),MATCH($BC$34,$A$35:$H$35,0))*고양시_Modal_split!F$3 * 0.01</f>
        <v>0</v>
      </c>
      <c r="BG39" s="207">
        <f>INDEX($A$35:$H$42,MATCH($L39,$B$35:$B$42,0),MATCH($BC$34,$A$35:$H$35,0))*고양시_Modal_split!G$3 * 0.01</f>
        <v>0</v>
      </c>
      <c r="BH39" s="207">
        <f>INDEX($A$35:$H$42,MATCH($L39,$B$35:$B$42,0),MATCH($BC$34,$A$35:$H$35,0))*고양시_Modal_split!H$3 * 0.01</f>
        <v>0</v>
      </c>
      <c r="BI39" s="207">
        <f>INDEX($A$35:$H$42,MATCH($L39,$B$35:$B$42,0),MATCH($BC$34,$A$35:$H$35,0))*고양시_Modal_split!I$3 * 0.01</f>
        <v>0</v>
      </c>
      <c r="BJ39" s="207">
        <f>INDEX($A$35:$H$42,MATCH($L39,$B$35:$B$42,0),MATCH($BC$34,$A$35:$H$35,0))*고양시_Modal_split!J$3 * 0.01</f>
        <v>0</v>
      </c>
      <c r="BK39" s="207">
        <f>INDEX($A$35:$H$42,MATCH($L39,$B$35:$B$42,0),MATCH($BC$34,$A$35:$H$35,0))*고양시_Modal_split!K$3 * 0.01</f>
        <v>0</v>
      </c>
      <c r="BL39" s="207">
        <f>INDEX($A$35:$H$42,MATCH($L39,$B$35:$B$42,0),MATCH($BC$34,$A$35:$H$35,0))*고양시_Modal_split!L$3 * 0.01</f>
        <v>0</v>
      </c>
      <c r="BM39" s="207">
        <f>INDEX($A$35:$H$42,MATCH($L39,$B$35:$B$42,0),MATCH($BC$34,$A$35:$H$35,0))*고양시_Modal_split!M$3 * 0.01</f>
        <v>0</v>
      </c>
      <c r="BN39" s="207">
        <f>INDEX($A$35:$H$42,MATCH($L39,$B$35:$B$42,0),MATCH($BC$34,$A$35:$H$35,0))*고양시_Modal_split!N$3 * 0.01</f>
        <v>0</v>
      </c>
      <c r="BO39" s="207">
        <f>INDEX($A$35:$H$42,MATCH($L39,$B$35:$B$42,0),MATCH($BC$34,$A$35:$H$35,0))*고양시_Modal_split!O$3 * 0.01</f>
        <v>0</v>
      </c>
      <c r="BP39" s="207">
        <f>INDEX($A$35:$H$42,MATCH($L39,$B$35:$B$42,0),MATCH($BC$34,$A$35:$H$35,0))*고양시_Modal_split!P$3 * 0.01</f>
        <v>0</v>
      </c>
      <c r="BQ39" s="207">
        <f>INDEX($A$35:$H$42,MATCH($L39,$B$35:$B$42,0),MATCH($BQ$34,$A$35:$H$35,0))*고양시_Modal_split!C$3 * 0.01</f>
        <v>0</v>
      </c>
      <c r="BR39" s="207">
        <f>INDEX($A$35:$H$42,MATCH($L39,$B$35:$B$42,0),MATCH($BQ$34,$A$35:$H$35,0))*고양시_Modal_split!D$3 * 0.01</f>
        <v>0</v>
      </c>
      <c r="BS39" s="207">
        <f>INDEX($A$35:$H$42,MATCH($L39,$B$35:$B$42,0),MATCH($BQ$34,$A$35:$H$35,0))*고양시_Modal_split!E$3 * 0.01</f>
        <v>0</v>
      </c>
      <c r="BT39" s="207">
        <f>INDEX($A$35:$H$42,MATCH($L39,$B$35:$B$42,0),MATCH($BQ$34,$A$35:$H$35,0))*고양시_Modal_split!F$3 * 0.01</f>
        <v>0</v>
      </c>
      <c r="BU39" s="207">
        <f>INDEX($A$35:$H$42,MATCH($L39,$B$35:$B$42,0),MATCH($BQ$34,$A$35:$H$35,0))*고양시_Modal_split!G$3 * 0.01</f>
        <v>0</v>
      </c>
      <c r="BV39" s="207">
        <f>INDEX($A$35:$H$42,MATCH($L39,$B$35:$B$42,0),MATCH($BQ$34,$A$35:$H$35,0))*고양시_Modal_split!H$3 * 0.01</f>
        <v>0</v>
      </c>
      <c r="BW39" s="207">
        <f>INDEX($A$35:$H$42,MATCH($L39,$B$35:$B$42,0),MATCH($BQ$34,$A$35:$H$35,0))*고양시_Modal_split!I$3 * 0.01</f>
        <v>0</v>
      </c>
      <c r="BX39" s="207">
        <f>INDEX($A$35:$H$42,MATCH($L39,$B$35:$B$42,0),MATCH($BQ$34,$A$35:$H$35,0))*고양시_Modal_split!J$3 * 0.01</f>
        <v>0</v>
      </c>
      <c r="BY39" s="207">
        <f>INDEX($A$35:$H$42,MATCH($L39,$B$35:$B$42,0),MATCH($BQ$34,$A$35:$H$35,0))*고양시_Modal_split!K$3 * 0.01</f>
        <v>0</v>
      </c>
      <c r="BZ39" s="207">
        <f>INDEX($A$35:$H$42,MATCH($L39,$B$35:$B$42,0),MATCH($BQ$34,$A$35:$H$35,0))*고양시_Modal_split!L$3 * 0.01</f>
        <v>0</v>
      </c>
      <c r="CA39" s="207">
        <f>INDEX($A$35:$H$42,MATCH($L39,$B$35:$B$42,0),MATCH($BQ$34,$A$35:$H$35,0))*고양시_Modal_split!M$3 * 0.01</f>
        <v>0</v>
      </c>
      <c r="CB39" s="207">
        <f>INDEX($A$35:$H$42,MATCH($L39,$B$35:$B$42,0),MATCH($BQ$34,$A$35:$H$35,0))*고양시_Modal_split!N$3 * 0.01</f>
        <v>0</v>
      </c>
      <c r="CC39" s="207">
        <f>INDEX($A$35:$H$42,MATCH($L39,$B$35:$B$42,0),MATCH($BQ$34,$A$35:$H$35,0))*고양시_Modal_split!O$3 * 0.01</f>
        <v>0</v>
      </c>
      <c r="CD39" s="207">
        <f>INDEX($A$35:$H$42,MATCH($L39,$B$35:$B$42,0),MATCH($BQ$34,$A$35:$H$35,0))*고양시_Modal_split!P$3 * 0.01</f>
        <v>0</v>
      </c>
      <c r="CE39" s="304">
        <f t="shared" si="10"/>
        <v>0</v>
      </c>
      <c r="CF39" s="304">
        <f t="shared" si="5"/>
        <v>0</v>
      </c>
      <c r="CG39" s="304">
        <f t="shared" si="5"/>
        <v>0</v>
      </c>
      <c r="CH39" s="304">
        <f t="shared" si="5"/>
        <v>0</v>
      </c>
      <c r="CI39" s="304">
        <f t="shared" si="5"/>
        <v>0</v>
      </c>
      <c r="CJ39" s="304">
        <f t="shared" si="5"/>
        <v>0</v>
      </c>
      <c r="CK39" s="304">
        <f t="shared" si="5"/>
        <v>0</v>
      </c>
      <c r="CL39" s="304">
        <f t="shared" si="5"/>
        <v>0</v>
      </c>
      <c r="CM39" s="304">
        <f t="shared" si="5"/>
        <v>0</v>
      </c>
      <c r="CN39" s="304">
        <f t="shared" si="5"/>
        <v>0</v>
      </c>
      <c r="CO39" s="304">
        <f t="shared" si="5"/>
        <v>0</v>
      </c>
      <c r="CP39" s="304">
        <f t="shared" si="5"/>
        <v>0</v>
      </c>
      <c r="CQ39" s="304">
        <f t="shared" si="5"/>
        <v>0</v>
      </c>
      <c r="CR39" s="304">
        <f t="shared" si="5"/>
        <v>0</v>
      </c>
      <c r="CS39" s="305">
        <f t="shared" si="11"/>
        <v>0</v>
      </c>
      <c r="CV39" s="265"/>
      <c r="CW39" s="265" t="s">
        <v>718</v>
      </c>
      <c r="CX39" s="267">
        <f>INDEX($M$34:$Z$42,MATCH($CW39,$L$34:$L$42,0),MATCH(CX$35,$M$35:$Z$35,0))/INDEX(고양시_재차인원!$D$4:$H$35,MATCH("고양시",고양시_재차인원!$B$4:$B$35,0),MATCH($CX$34,고양시_재차인원!$D$4:$H$4,0))</f>
        <v>0</v>
      </c>
      <c r="CY39" s="267">
        <f>INDEX($M$34:$Z$42,MATCH($CW39,$L$34:$L$42,0),MATCH(CY$35,$M$35:$Z$35,0))/INDEX(고양시_재차인원!$K$4:$O$20,MATCH("경기도",고양시_재차인원!$K$4:$K$20,0),MATCH(CY$35,고양시_재차인원!$K$4:$O$4,0))</f>
        <v>0</v>
      </c>
      <c r="CZ39" s="267">
        <f>INDEX($M$34:$Z$42,MATCH($CW39,$L$34:$L$42,0),MATCH(CZ$35,$M$35:$Z$35,0))/INDEX(고양시_재차인원!$K$4:$O$20,MATCH("경기도",고양시_재차인원!$K$4:$K$20,0),MATCH(CZ$35,고양시_재차인원!$K$4:$O$4,0))</f>
        <v>0</v>
      </c>
      <c r="DA39" s="267">
        <f>INDEX($M$34:$Z$42,MATCH($CW39,$L$34:$L$42,0),MATCH(DA$35,$M$35:$Z$35,0))/INDEX(고양시_재차인원!$D$4:$H$35,MATCH("고양시",고양시_재차인원!$B$4:$B$35,0),MATCH($CX$34,고양시_재차인원!$D$4:$H$4,0))</f>
        <v>0</v>
      </c>
      <c r="DB39" s="267">
        <f>INDEX($AA$34:$AN$42,MATCH($CW39,$L$34:$L$42,0),MATCH(DB$35,$AA$35:$AN$35,0))/INDEX(고양시_재차인원!$D$4:$H$35,MATCH("고양시",고양시_재차인원!$B$4:$B$35,0),MATCH($DB$34,고양시_재차인원!$D$4:$H$4,0))</f>
        <v>0</v>
      </c>
      <c r="DC39" s="267">
        <f>INDEX($AA$34:$AN$42,MATCH($CW39,$L$34:$L$42,0),MATCH(DC$35,$AA$35:$AN$35,0))/INDEX(고양시_재차인원!$K$4:$O$20,MATCH("경기도",고양시_재차인원!$K$4:$K$20,0),MATCH(DC$35,고양시_재차인원!$K$4:$O$4,0))</f>
        <v>0</v>
      </c>
      <c r="DD39" s="267">
        <f>INDEX($AA$34:$AN$42,MATCH($CW39,$L$34:$L$42,0),MATCH(DD$35,$AA$35:$AN$35,0))/INDEX(고양시_재차인원!$K$4:$O$20,MATCH("경기도",고양시_재차인원!$K$4:$K$20,0),MATCH(DD$35,고양시_재차인원!$K$4:$O$4,0))</f>
        <v>0</v>
      </c>
      <c r="DE39" s="267">
        <f>INDEX($AA$34:$AN$42,MATCH($CW39,$L$34:$L$42,0),MATCH(DE$35,$AA$35:$AN$35,0))/INDEX(고양시_재차인원!$D$4:$H$35,MATCH("고양시",고양시_재차인원!$B$4:$B$35,0),MATCH($DB$34,고양시_재차인원!$D$4:$H$4,0))</f>
        <v>0</v>
      </c>
      <c r="DF39" s="267">
        <f>INDEX($AO$34:$BB$42,MATCH($CW39,$L$34:$L$42,0),MATCH(DF$35,$AO$35:$BB$35,0))/INDEX(고양시_재차인원!$D$4:$H$35,MATCH("고양시",고양시_재차인원!$B$4:$B$35,0),MATCH($DF$34,고양시_재차인원!$D$4:$H$4,0))</f>
        <v>0</v>
      </c>
      <c r="DG39" s="267">
        <f>INDEX($AO$34:$BB$42,MATCH($CW39,$L$34:$L$42,0),MATCH(DG$35,$AO$35:$BB$35,0))/INDEX(고양시_재차인원!$K$4:$O$20,MATCH("경기도",고양시_재차인원!$K$4:$K$20,0),MATCH(DG$35,고양시_재차인원!$K$4:$O$4,0))</f>
        <v>0</v>
      </c>
      <c r="DH39" s="267">
        <f>INDEX($AO$34:$BB$42,MATCH($CW39,$L$34:$L$42,0),MATCH(DH$35,$AO$35:$BB$35,0))/INDEX(고양시_재차인원!$K$4:$O$20,MATCH("경기도",고양시_재차인원!$K$4:$K$20,0),MATCH(DH$35,고양시_재차인원!$K$4:$O$4,0))</f>
        <v>0</v>
      </c>
      <c r="DI39" s="267">
        <f>INDEX($AO$34:$BB$42,MATCH($CW39,$L$34:$L$42,0),MATCH(DI$35,$AO$35:$BB$35,0))/INDEX(고양시_재차인원!$D$4:$H$35,MATCH("고양시",고양시_재차인원!$B$4:$B$35,0),MATCH($DF$34,고양시_재차인원!$D$4:$H$4,0))</f>
        <v>0</v>
      </c>
      <c r="DJ39" s="267">
        <f>INDEX($BC$34:$BP$42,MATCH($CW39,$L$34:$L$42,0),MATCH(DJ$35,$BC$35:$BP$35,0))/INDEX(고양시_재차인원!$D$4:$H$35,MATCH("고양시",고양시_재차인원!$B$4:$B$35,0),MATCH($DJ$34,고양시_재차인원!$D$4:$H$4,0))</f>
        <v>0</v>
      </c>
      <c r="DK39" s="267">
        <f>INDEX($BC$34:$BP$42,MATCH($CW39,$L$34:$L$42,0),MATCH(DK$35,$BC$35:$BP$35,0))/INDEX(고양시_재차인원!$K$4:$O$20,MATCH("경기도",고양시_재차인원!$K$4:$K$20,0),MATCH(DK$35,고양시_재차인원!$K$4:$O$4,0))</f>
        <v>0</v>
      </c>
      <c r="DL39" s="267">
        <f>INDEX($BC$34:$BP$42,MATCH($CW39,$L$34:$L$42,0),MATCH(DL$35,$BC$35:$BP$35,0))/INDEX(고양시_재차인원!$K$4:$O$20,MATCH("경기도",고양시_재차인원!$K$4:$K$20,0),MATCH(DL$35,고양시_재차인원!$K$4:$O$4,0))</f>
        <v>0</v>
      </c>
      <c r="DM39" s="267">
        <f>INDEX($BC$34:$BP$42,MATCH($CW39,$L$34:$L$42,0),MATCH(DM$35,$BC$35:$BP$35,0))/INDEX(고양시_재차인원!$D$4:$H$35,MATCH("고양시",고양시_재차인원!$B$4:$B$35,0),MATCH($DJ$34,고양시_재차인원!$D$4:$H$4,0))</f>
        <v>0</v>
      </c>
      <c r="DN39" s="267">
        <f>INDEX($BQ$34:$CD$42,MATCH($CW39,$L$34:$L$42,0),MATCH(DN$35,$BQ$35:$CD$35,0))/INDEX(고양시_재차인원!$D$4:$H$35,MATCH("고양시",고양시_재차인원!$B$4:$B$35,0),MATCH($DN$34,고양시_재차인원!$D$4:$H$4,0))</f>
        <v>0</v>
      </c>
      <c r="DO39" s="267">
        <f>INDEX($BQ$34:$CD$42,MATCH($CW39,$L$34:$L$42,0),MATCH(DO$35,$BQ$35:$CD$35,0))/INDEX(고양시_재차인원!$K$4:$O$20,MATCH("경기도",고양시_재차인원!$K$4:$K$20,0),MATCH(DO$35,고양시_재차인원!$K$4:$O$4,0))</f>
        <v>0</v>
      </c>
      <c r="DP39" s="267">
        <f>INDEX($BQ$34:$CD$42,MATCH($CW39,$L$34:$L$42,0),MATCH(DP$35,$BQ$35:$CD$35,0))/INDEX(고양시_재차인원!$K$4:$O$20,MATCH("경기도",고양시_재차인원!$K$4:$K$20,0),MATCH(DP$35,고양시_재차인원!$K$4:$O$4,0))</f>
        <v>0</v>
      </c>
      <c r="DQ39" s="267">
        <f>INDEX($BQ$34:$CD$42,MATCH($CW39,$L$34:$L$42,0),MATCH(DQ$35,$BQ$35:$CD$35,0))/INDEX(고양시_재차인원!$D$4:$H$35,MATCH("고양시",고양시_재차인원!$B$4:$B$35,0),MATCH($DN$34,고양시_재차인원!$D$4:$H$4,0))</f>
        <v>0</v>
      </c>
      <c r="DR39" s="270">
        <f t="shared" si="12"/>
        <v>0</v>
      </c>
      <c r="DS39" s="270">
        <f t="shared" si="6"/>
        <v>0</v>
      </c>
      <c r="DT39" s="270">
        <f t="shared" si="6"/>
        <v>0</v>
      </c>
      <c r="DU39" s="270">
        <f t="shared" si="6"/>
        <v>0</v>
      </c>
      <c r="DW39" s="278"/>
      <c r="DX39" s="278" t="s">
        <v>718</v>
      </c>
      <c r="DY39" s="281">
        <f t="shared" si="13"/>
        <v>0</v>
      </c>
      <c r="DZ39" s="281">
        <f t="shared" si="14"/>
        <v>0</v>
      </c>
      <c r="EB39" s="278"/>
      <c r="EC39" s="278" t="s">
        <v>671</v>
      </c>
      <c r="ED39" s="281">
        <f t="shared" si="15"/>
        <v>0</v>
      </c>
      <c r="EE39" s="281">
        <f t="shared" si="7"/>
        <v>0</v>
      </c>
    </row>
    <row r="40" spans="1:157" ht="25">
      <c r="A40" s="205" t="s">
        <v>702</v>
      </c>
      <c r="B40" s="205" t="s">
        <v>717</v>
      </c>
      <c r="C40" s="400">
        <f>$D12*KTDB_TripDistribution_2040!L$12 * (1+KTDB_발생량도착량_증가율!$C$8) * (1+KTDB_발생량도착량_증가율!$D$7*5) * (1+KTDB_발생량도착량_증가율!$E$7*5) * (1+KTDB_발생량도착량_증가율!$F$7*5)</f>
        <v>46.454289561680305</v>
      </c>
      <c r="D40" s="400">
        <f>$D12*KTDB_TripDistribution_2040!M$12 * (1+KTDB_발생량도착량_증가율!$C$8) * (1+KTDB_발생량도착량_증가율!$D$7*5) * (1+KTDB_발생량도착량_증가율!$E$7*5) * (1+KTDB_발생량도착량_증가율!$F$7*5)</f>
        <v>361.23475050183339</v>
      </c>
      <c r="E40" s="400">
        <f>$D12*KTDB_TripDistribution_2040!N$12 * (1+KTDB_발생량도착량_증가율!$C$8) * (1+KTDB_발생량도착량_증가율!$D$7*5) * (1+KTDB_발생량도착량_증가율!$E$7*5) * (1+KTDB_발생량도착량_증가율!$F$7*5)</f>
        <v>16.011857868081865</v>
      </c>
      <c r="F40" s="400">
        <f>$D12*KTDB_TripDistribution_2040!O$12 * (1+KTDB_발생량도착량_증가율!$C$8) * (1+KTDB_발생량도착량_증가율!$D$7*5) * (1+KTDB_발생량도착량_증가율!$E$7*5) * (1+KTDB_발생량도착량_증가율!$F$7*5)</f>
        <v>4.3421987438865849E-2</v>
      </c>
      <c r="G40" s="400">
        <f>$D12*KTDB_TripDistribution_2040!P$12 * (1+KTDB_발생량도착량_증가율!$C$8) * (1+KTDB_발생량도착량_증가율!$D$7*5) * (1+KTDB_발생량도착량_증가율!$E$7*5) * (1+KTDB_발생량도착량_증가율!$F$7*5)</f>
        <v>0.1230289644101209</v>
      </c>
      <c r="H40" s="400">
        <f>$D12*KTDB_TripDistribution_2040!Q$12 * (1+KTDB_발생량도착량_증가율!$C$8) * (1+KTDB_발생량도착량_증가율!$D$7*5) * (1+KTDB_발생량도착량_증가율!$E$7*5) * (1+KTDB_발생량도착량_증가율!$F$7*5)</f>
        <v>423.86734888344444</v>
      </c>
      <c r="J40" s="230">
        <f t="shared" si="4"/>
        <v>423.86734888344455</v>
      </c>
      <c r="K40" s="206"/>
      <c r="L40" s="206" t="s">
        <v>716</v>
      </c>
      <c r="M40" s="206">
        <f>INDEX($A$35:$H$42,MATCH($L40,$B$35:$B$42,0),MATCH($M$34,$A$35:$H$35,0))*고양시_Modal_split!C$3 * 0.01</f>
        <v>0.13007201077270483</v>
      </c>
      <c r="N40" s="206">
        <f>INDEX($A$35:$H$42,MATCH($L40,$B$35:$B$42,0),MATCH($M$34,$A$35:$H$35,0))*고양시_Modal_split!D$3 * 0.01</f>
        <v>21.84745238085825</v>
      </c>
      <c r="O40" s="206">
        <f>INDEX($A$35:$H$42,MATCH($L40,$B$35:$B$42,0),MATCH($M$34,$A$35:$H$35,0))*고양시_Modal_split!E$3 * 0.01</f>
        <v>2.6432490760596092</v>
      </c>
      <c r="P40" s="206">
        <f>INDEX($A$35:$H$42,MATCH($L40,$B$35:$B$42,0),MATCH($M$34,$A$35:$H$35,0))*고양시_Modal_split!F$3 * 0.01</f>
        <v>4.2598583528060843</v>
      </c>
      <c r="Q40" s="206">
        <f>INDEX($A$35:$H$42,MATCH($L40,$B$35:$B$42,0),MATCH($M$34,$A$35:$H$35,0))*고양시_Modal_split!G$3 * 0.01</f>
        <v>0.42737946396745879</v>
      </c>
      <c r="R40" s="206">
        <f>INDEX($A$35:$H$42,MATCH($L40,$B$35:$B$42,0),MATCH($M$34,$A$35:$H$35,0))*고양시_Modal_split!H$3 * 0.01</f>
        <v>4.6454289561680311E-3</v>
      </c>
      <c r="S40" s="206">
        <f>INDEX($A$35:$H$42,MATCH($L40,$B$35:$B$42,0),MATCH($M$34,$A$35:$H$35,0))*고양시_Modal_split!I$3 * 0.01</f>
        <v>1.2914292498147122</v>
      </c>
      <c r="T40" s="206">
        <f>INDEX($A$35:$H$42,MATCH($L40,$B$35:$B$42,0),MATCH($M$34,$A$35:$H$35,0))*고양시_Modal_split!J$3 * 0.01</f>
        <v>14.140685742575485</v>
      </c>
      <c r="U40" s="206">
        <f>INDEX($A$35:$H$42,MATCH($L40,$B$35:$B$42,0),MATCH($M$34,$A$35:$H$35,0))*고양시_Modal_split!K$3 * 0.01</f>
        <v>6.9681434342520457E-2</v>
      </c>
      <c r="V40" s="206">
        <f>INDEX($A$35:$H$42,MATCH($L40,$B$35:$B$42,0),MATCH($M$34,$A$35:$H$35,0))*고양시_Modal_split!L$3 * 0.01</f>
        <v>1.4029195447627454</v>
      </c>
      <c r="W40" s="206">
        <f>INDEX($A$35:$H$42,MATCH($L40,$B$35:$B$42,0),MATCH($M$34,$A$35:$H$35,0))*고양시_Modal_split!M$3 * 0.01</f>
        <v>0.1068448659918647</v>
      </c>
      <c r="X40" s="206">
        <f>INDEX($A$35:$H$42,MATCH($L40,$B$35:$B$42,0),MATCH($M$34,$A$35:$H$35,0))*고양시_Modal_split!N$3 * 0.01</f>
        <v>4.6454289561680309E-2</v>
      </c>
      <c r="Y40" s="206">
        <f>INDEX($A$35:$H$42,MATCH($L40,$B$35:$B$42,0),MATCH($M$34,$A$35:$H$35,0))*고양시_Modal_split!O$3 * 0.01</f>
        <v>8.3617721211024551E-2</v>
      </c>
      <c r="Z40" s="209">
        <f>INDEX($A$35:$H$42,MATCH($L40,$B$35:$B$42,0),MATCH($M$34,$A$35:$H$35,0))*고양시_Modal_split!P$3 * 0.01</f>
        <v>46.454289561680305</v>
      </c>
      <c r="AA40" s="207">
        <f>INDEX($A$35:$H$42,MATCH($L40,$B$35:$B$42,0),MATCH($AA$34,$A$35:$H$35,0))*고양시_Modal_split!C$3 * 0.01</f>
        <v>1.0114573014051333</v>
      </c>
      <c r="AB40" s="207">
        <f>INDEX($A$35:$H$42,MATCH($L40,$B$35:$B$42,0),MATCH($AA$34,$A$35:$H$35,0))*고양시_Modal_split!D$3 * 0.01</f>
        <v>169.88870316101224</v>
      </c>
      <c r="AC40" s="207">
        <f>INDEX($A$35:$H$42,MATCH($L40,$B$35:$B$42,0),MATCH($AA$34,$A$35:$H$35,0))*고양시_Modal_split!E$3 * 0.01</f>
        <v>20.554257303554319</v>
      </c>
      <c r="AD40" s="207">
        <f>INDEX($A$35:$H$42,MATCH($L40,$B$35:$B$42,0),MATCH($AA$34,$A$35:$H$35,0))*고양시_Modal_split!F$3 * 0.01</f>
        <v>33.125226621018122</v>
      </c>
      <c r="AE40" s="207">
        <f>INDEX($A$35:$H$42,MATCH($L40,$B$35:$B$42,0),MATCH($AA$34,$A$35:$H$35,0))*고양시_Modal_split!G$3 * 0.01</f>
        <v>3.323359704616867</v>
      </c>
      <c r="AF40" s="207">
        <f>INDEX($A$35:$H$42,MATCH($L40,$B$35:$B$42,0),MATCH($AA$34,$A$35:$H$35,0))*고양시_Modal_split!H$3 * 0.01</f>
        <v>3.6123475050183339E-2</v>
      </c>
      <c r="AG40" s="207">
        <f>INDEX($A$35:$H$42,MATCH($L40,$B$35:$B$42,0),MATCH($AA$34,$A$35:$H$35,0))*고양시_Modal_split!I$3 * 0.01</f>
        <v>10.042326063950966</v>
      </c>
      <c r="AH40" s="207">
        <f>INDEX($A$35:$H$42,MATCH($L40,$B$35:$B$42,0),MATCH($AA$34,$A$35:$H$35,0))*고양시_Modal_split!J$3 * 0.01</f>
        <v>109.95985805275808</v>
      </c>
      <c r="AI40" s="207">
        <f>INDEX($A$35:$H$42,MATCH($L40,$B$35:$B$42,0),MATCH($AA$34,$A$35:$H$35,0))*고양시_Modal_split!K$3 * 0.01</f>
        <v>0.5418521257527501</v>
      </c>
      <c r="AJ40" s="207">
        <f>INDEX($A$35:$H$42,MATCH($L40,$B$35:$B$42,0),MATCH($AA$34,$A$35:$H$35,0))*고양시_Modal_split!L$3 * 0.01</f>
        <v>10.909289465155368</v>
      </c>
      <c r="AK40" s="207">
        <f>INDEX($A$35:$H$42,MATCH($L40,$B$35:$B$42,0),MATCH($AA$34,$A$35:$H$35,0))*고양시_Modal_split!M$3 * 0.01</f>
        <v>0.83083992615421676</v>
      </c>
      <c r="AL40" s="207">
        <f>INDEX($A$35:$H$42,MATCH($L40,$B$35:$B$42,0),MATCH($AA$34,$A$35:$H$35,0))*고양시_Modal_split!N$3 * 0.01</f>
        <v>0.3612347505018334</v>
      </c>
      <c r="AM40" s="207">
        <f>INDEX($A$35:$H$42,MATCH($L40,$B$35:$B$42,0),MATCH($AA$34,$A$35:$H$35,0))*고양시_Modal_split!O$3 * 0.01</f>
        <v>0.65022255090330006</v>
      </c>
      <c r="AN40" s="207">
        <f>INDEX($A$35:$H$42,MATCH($L40,$B$35:$B$42,0),MATCH($AA$34,$A$35:$H$35,0))*고양시_Modal_split!P$3 * 0.01</f>
        <v>361.23475050183339</v>
      </c>
      <c r="AO40" s="303">
        <f>INDEX($A$35:$H$42,MATCH($L40,$B$35:$B$42,0),MATCH($AO$34,$A$35:$H$35,0))*고양시_Modal_split!C$3 * 0.01</f>
        <v>4.4833202030629224E-2</v>
      </c>
      <c r="AP40" s="303">
        <f>INDEX($A$35:$H$42,MATCH($L40,$B$35:$B$42,0),MATCH($AO$34,$A$35:$H$35,0))*고양시_Modal_split!D$3 * 0.01</f>
        <v>7.5303767553589012</v>
      </c>
      <c r="AQ40" s="303">
        <f>INDEX($A$35:$H$42,MATCH($L40,$B$35:$B$42,0),MATCH($AO$34,$A$35:$H$35,0))*고양시_Modal_split!E$3 * 0.01</f>
        <v>0.91107471269385798</v>
      </c>
      <c r="AR40" s="303">
        <f>INDEX($A$35:$H$42,MATCH($L40,$B$35:$B$42,0),MATCH($AO$34,$A$35:$H$35,0))*고양시_Modal_split!F$3 * 0.01</f>
        <v>1.4682873665031071</v>
      </c>
      <c r="AS40" s="303">
        <f>INDEX($A$35:$H$42,MATCH($L40,$B$35:$B$42,0),MATCH($AO$34,$A$35:$H$35,0))*고양시_Modal_split!G$3 * 0.01</f>
        <v>0.14730909238635315</v>
      </c>
      <c r="AT40" s="303">
        <f>INDEX($A$35:$H$42,MATCH($L40,$B$35:$B$42,0),MATCH($AO$34,$A$35:$H$35,0))*고양시_Modal_split!H$3 * 0.01</f>
        <v>1.6011857868081867E-3</v>
      </c>
      <c r="AU40" s="303">
        <f>INDEX($A$35:$H$42,MATCH($L40,$B$35:$B$42,0),MATCH($AO$34,$A$35:$H$35,0))*고양시_Modal_split!I$3 * 0.01</f>
        <v>0.44512964873267585</v>
      </c>
      <c r="AV40" s="303">
        <f>INDEX($A$35:$H$42,MATCH($L40,$B$35:$B$42,0),MATCH($AO$34,$A$35:$H$35,0))*고양시_Modal_split!J$3 * 0.01</f>
        <v>4.8740095350441202</v>
      </c>
      <c r="AW40" s="303">
        <f>INDEX($A$35:$H$42,MATCH($L40,$B$35:$B$42,0),MATCH($AO$34,$A$35:$H$35,0))*고양시_Modal_split!K$3 * 0.01</f>
        <v>2.4017786802122798E-2</v>
      </c>
      <c r="AX40" s="303">
        <f>INDEX($A$35:$H$42,MATCH($L40,$B$35:$B$42,0),MATCH($AO$34,$A$35:$H$35,0))*고양시_Modal_split!L$3 * 0.01</f>
        <v>0.48355810761607232</v>
      </c>
      <c r="AY40" s="303">
        <f>INDEX($A$35:$H$42,MATCH($L40,$B$35:$B$42,0),MATCH($AO$34,$A$35:$H$35,0))*고양시_Modal_split!M$3 * 0.01</f>
        <v>3.6827273096588287E-2</v>
      </c>
      <c r="AZ40" s="303">
        <f>INDEX($A$35:$H$42,MATCH($L40,$B$35:$B$42,0),MATCH($AO$34,$A$35:$H$35,0))*고양시_Modal_split!N$3 * 0.01</f>
        <v>1.6011857868081868E-2</v>
      </c>
      <c r="BA40" s="207">
        <f>INDEX($A$35:$H$42,MATCH($L40,$B$35:$B$42,0),MATCH($AO$34,$A$35:$H$35,0))*고양시_Modal_split!O$3 * 0.01</f>
        <v>2.882134416254736E-2</v>
      </c>
      <c r="BB40" s="207">
        <f>INDEX($A$35:$H$42,MATCH($L40,$B$35:$B$42,0),MATCH($AO$34,$A$35:$H$35,0))*고양시_Modal_split!P$3 * 0.01</f>
        <v>16.011857868081865</v>
      </c>
      <c r="BC40" s="207">
        <f>INDEX($A$35:$H$42,MATCH($L40,$B$35:$B$42,0),MATCH($BC$34,$A$35:$H$35,0))*고양시_Modal_split!C$3 * 0.01</f>
        <v>1.2158156482882438E-4</v>
      </c>
      <c r="BD40" s="207">
        <f>INDEX($A$35:$H$42,MATCH($L40,$B$35:$B$42,0),MATCH($BC$34,$A$35:$H$35,0))*고양시_Modal_split!D$3 * 0.01</f>
        <v>2.042136069249861E-2</v>
      </c>
      <c r="BE40" s="207">
        <f>INDEX($A$35:$H$42,MATCH($L40,$B$35:$B$42,0),MATCH($BC$34,$A$35:$H$35,0))*고양시_Modal_split!E$3 * 0.01</f>
        <v>2.4707110852714665E-3</v>
      </c>
      <c r="BF40" s="207">
        <f>INDEX($A$35:$H$42,MATCH($L40,$B$35:$B$42,0),MATCH($BC$34,$A$35:$H$35,0))*고양시_Modal_split!F$3 * 0.01</f>
        <v>3.9817962481439985E-3</v>
      </c>
      <c r="BG40" s="207">
        <f>INDEX($A$35:$H$42,MATCH($L40,$B$35:$B$42,0),MATCH($BC$34,$A$35:$H$35,0))*고양시_Modal_split!G$3 * 0.01</f>
        <v>3.9948228443756578E-4</v>
      </c>
      <c r="BH40" s="207">
        <f>INDEX($A$35:$H$42,MATCH($L40,$B$35:$B$42,0),MATCH($BC$34,$A$35:$H$35,0))*고양시_Modal_split!H$3 * 0.01</f>
        <v>4.342198743886585E-6</v>
      </c>
      <c r="BI40" s="207">
        <f>INDEX($A$35:$H$42,MATCH($L40,$B$35:$B$42,0),MATCH($BC$34,$A$35:$H$35,0))*고양시_Modal_split!I$3 * 0.01</f>
        <v>1.2071312508004706E-3</v>
      </c>
      <c r="BJ40" s="207">
        <f>INDEX($A$35:$H$42,MATCH($L40,$B$35:$B$42,0),MATCH($BC$34,$A$35:$H$35,0))*고양시_Modal_split!J$3 * 0.01</f>
        <v>1.3217652976390767E-2</v>
      </c>
      <c r="BK40" s="207">
        <f>INDEX($A$35:$H$42,MATCH($L40,$B$35:$B$42,0),MATCH($BC$34,$A$35:$H$35,0))*고양시_Modal_split!K$3 * 0.01</f>
        <v>6.5132981158298772E-5</v>
      </c>
      <c r="BL40" s="207">
        <f>INDEX($A$35:$H$42,MATCH($L40,$B$35:$B$42,0),MATCH($BC$34,$A$35:$H$35,0))*고양시_Modal_split!L$3 * 0.01</f>
        <v>1.3113440206537486E-3</v>
      </c>
      <c r="BM40" s="207">
        <f>INDEX($A$35:$H$42,MATCH($L40,$B$35:$B$42,0),MATCH($BC$34,$A$35:$H$35,0))*고양시_Modal_split!M$3 * 0.01</f>
        <v>9.9870571109391445E-5</v>
      </c>
      <c r="BN40" s="207">
        <f>INDEX($A$35:$H$42,MATCH($L40,$B$35:$B$42,0),MATCH($BC$34,$A$35:$H$35,0))*고양시_Modal_split!N$3 * 0.01</f>
        <v>4.3421987438865852E-5</v>
      </c>
      <c r="BO40" s="207">
        <f>INDEX($A$35:$H$42,MATCH($L40,$B$35:$B$42,0),MATCH($BC$34,$A$35:$H$35,0))*고양시_Modal_split!O$3 * 0.01</f>
        <v>7.8159577389958526E-5</v>
      </c>
      <c r="BP40" s="207">
        <f>INDEX($A$35:$H$42,MATCH($L40,$B$35:$B$42,0),MATCH($BC$34,$A$35:$H$35,0))*고양시_Modal_split!P$3 * 0.01</f>
        <v>4.3421987438865849E-2</v>
      </c>
      <c r="BQ40" s="207">
        <f>INDEX($A$35:$H$42,MATCH($L40,$B$35:$B$42,0),MATCH($BQ$34,$A$35:$H$35,0))*고양시_Modal_split!C$3 * 0.01</f>
        <v>3.4448110034833847E-4</v>
      </c>
      <c r="BR40" s="207">
        <f>INDEX($A$35:$H$42,MATCH($L40,$B$35:$B$42,0),MATCH($BQ$34,$A$35:$H$35,0))*고양시_Modal_split!D$3 * 0.01</f>
        <v>5.7860521962079865E-2</v>
      </c>
      <c r="BS40" s="207">
        <f>INDEX($A$35:$H$42,MATCH($L40,$B$35:$B$42,0),MATCH($BQ$34,$A$35:$H$35,0))*고양시_Modal_split!E$3 * 0.01</f>
        <v>7.0003480749358787E-3</v>
      </c>
      <c r="BT40" s="207">
        <f>INDEX($A$35:$H$42,MATCH($L40,$B$35:$B$42,0),MATCH($BQ$34,$A$35:$H$35,0))*고양시_Modal_split!F$3 * 0.01</f>
        <v>1.1281756036408087E-2</v>
      </c>
      <c r="BU40" s="207">
        <f>INDEX($A$35:$H$42,MATCH($L40,$B$35:$B$42,0),MATCH($BQ$34,$A$35:$H$35,0))*고양시_Modal_split!G$3 * 0.01</f>
        <v>1.1318664725731122E-3</v>
      </c>
      <c r="BV40" s="207">
        <f>INDEX($A$35:$H$42,MATCH($L40,$B$35:$B$42,0),MATCH($BQ$34,$A$35:$H$35,0))*고양시_Modal_split!H$3 * 0.01</f>
        <v>1.2302896441012091E-5</v>
      </c>
      <c r="BW40" s="207">
        <f>INDEX($A$35:$H$42,MATCH($L40,$B$35:$B$42,0),MATCH($BQ$34,$A$35:$H$35,0))*고양시_Modal_split!I$3 * 0.01</f>
        <v>3.4202052106013609E-3</v>
      </c>
      <c r="BX40" s="207">
        <f>INDEX($A$35:$H$42,MATCH($L40,$B$35:$B$42,0),MATCH($BQ$34,$A$35:$H$35,0))*고양시_Modal_split!J$3 * 0.01</f>
        <v>3.7450016766440809E-2</v>
      </c>
      <c r="BY40" s="207">
        <f>INDEX($A$35:$H$42,MATCH($L40,$B$35:$B$42,0),MATCH($BQ$34,$A$35:$H$35,0))*고양시_Modal_split!K$3 * 0.01</f>
        <v>1.8454344661518135E-4</v>
      </c>
      <c r="BZ40" s="207">
        <f>INDEX($A$35:$H$42,MATCH($L40,$B$35:$B$42,0),MATCH($BQ$34,$A$35:$H$35,0))*고양시_Modal_split!L$3 * 0.01</f>
        <v>3.7154747251856514E-3</v>
      </c>
      <c r="CA40" s="207">
        <f>INDEX($A$35:$H$42,MATCH($L40,$B$35:$B$42,0),MATCH($BQ$34,$A$35:$H$35,0))*고양시_Modal_split!M$3 * 0.01</f>
        <v>2.8296661814327805E-4</v>
      </c>
      <c r="CB40" s="207">
        <f>INDEX($A$35:$H$42,MATCH($L40,$B$35:$B$42,0),MATCH($BQ$34,$A$35:$H$35,0))*고양시_Modal_split!N$3 * 0.01</f>
        <v>1.230289644101209E-4</v>
      </c>
      <c r="CC40" s="207">
        <f>INDEX($A$35:$H$42,MATCH($L40,$B$35:$B$42,0),MATCH($BQ$34,$A$35:$H$35,0))*고양시_Modal_split!O$3 * 0.01</f>
        <v>2.214521359382176E-4</v>
      </c>
      <c r="CD40" s="207">
        <f>INDEX($A$35:$H$42,MATCH($L40,$B$35:$B$42,0),MATCH($BQ$34,$A$35:$H$35,0))*고양시_Modal_split!P$3 * 0.01</f>
        <v>0.1230289644101209</v>
      </c>
      <c r="CE40" s="304">
        <f t="shared" si="10"/>
        <v>1.1868285768736446</v>
      </c>
      <c r="CF40" s="304">
        <f t="shared" si="5"/>
        <v>199.34481417988397</v>
      </c>
      <c r="CG40" s="304">
        <f t="shared" si="5"/>
        <v>24.118052151467992</v>
      </c>
      <c r="CH40" s="304">
        <f t="shared" si="5"/>
        <v>38.868635892611863</v>
      </c>
      <c r="CI40" s="304">
        <f t="shared" si="5"/>
        <v>3.8995796097276898</v>
      </c>
      <c r="CJ40" s="304">
        <f t="shared" si="5"/>
        <v>4.2386734888344456E-2</v>
      </c>
      <c r="CK40" s="304">
        <f t="shared" si="5"/>
        <v>11.783512298959756</v>
      </c>
      <c r="CL40" s="304">
        <f t="shared" si="5"/>
        <v>129.0252210001205</v>
      </c>
      <c r="CM40" s="304">
        <f t="shared" si="5"/>
        <v>0.63580102332516697</v>
      </c>
      <c r="CN40" s="304">
        <f t="shared" si="5"/>
        <v>12.800793936280025</v>
      </c>
      <c r="CO40" s="304">
        <f t="shared" si="5"/>
        <v>0.97489490243192245</v>
      </c>
      <c r="CP40" s="304">
        <f t="shared" si="5"/>
        <v>0.42386734888344452</v>
      </c>
      <c r="CQ40" s="304">
        <f t="shared" si="5"/>
        <v>0.76296122799020016</v>
      </c>
      <c r="CR40" s="304">
        <f t="shared" si="5"/>
        <v>423.86734888344455</v>
      </c>
      <c r="CS40" s="305">
        <f t="shared" si="11"/>
        <v>0</v>
      </c>
      <c r="CV40" s="265"/>
      <c r="CW40" s="265" t="s">
        <v>716</v>
      </c>
      <c r="CX40" s="267">
        <f>INDEX($M$34:$Z$42,MATCH($CW40,$L$34:$L$42,0),MATCH(CX$35,$M$35:$Z$35,0))/INDEX(고양시_재차인원!$D$4:$H$35,MATCH("고양시",고양시_재차인원!$B$4:$B$35,0),MATCH($CX$34,고양시_재차인원!$D$4:$H$4,0))</f>
        <v>19.50665391148058</v>
      </c>
      <c r="CY40" s="267">
        <f>INDEX($M$34:$Z$42,MATCH($CW40,$L$34:$L$42,0),MATCH(CY$35,$M$35:$Z$35,0))/INDEX(고양시_재차인원!$K$4:$O$20,MATCH("경기도",고양시_재차인원!$K$4:$K$20,0),MATCH(CY$35,고양시_재차인원!$K$4:$O$4,0))</f>
        <v>1.6135564279847278E-4</v>
      </c>
      <c r="CZ40" s="267">
        <f>INDEX($M$34:$Z$42,MATCH($CW40,$L$34:$L$42,0),MATCH(CZ$35,$M$35:$Z$35,0))/INDEX(고양시_재차인원!$K$4:$O$20,MATCH("경기도",고양시_재차인원!$K$4:$K$20,0),MATCH(CZ$35,고양시_재차인원!$K$4:$O$4,0))</f>
        <v>4.4856868697975415E-2</v>
      </c>
      <c r="DA40" s="267">
        <f>INDEX($M$34:$Z$42,MATCH($CW40,$L$34:$L$42,0),MATCH(DA$35,$M$35:$Z$35,0))/INDEX(고양시_재차인원!$D$4:$H$35,MATCH("고양시",고양시_재차인원!$B$4:$B$35,0),MATCH($CX$34,고양시_재차인원!$D$4:$H$4,0))</f>
        <v>1.2526067363953082</v>
      </c>
      <c r="DB40" s="267">
        <f>INDEX($AA$34:$AN$42,MATCH($CW40,$L$34:$L$42,0),MATCH(DB$35,$AA$35:$AN$35,0))/INDEX(고양시_재차인원!$D$4:$H$35,MATCH("고양시",고양시_재차인원!$B$4:$B$35,0),MATCH($DB$34,고양시_재차인원!$D$4:$H$4,0))</f>
        <v>120.48844195816471</v>
      </c>
      <c r="DC40" s="267">
        <f>INDEX($AA$34:$AN$42,MATCH($CW40,$L$34:$L$42,0),MATCH(DC$35,$AA$35:$AN$35,0))/INDEX(고양시_재차인원!$K$4:$O$20,MATCH("경기도",고양시_재차인원!$K$4:$K$20,0),MATCH(DC$35,고양시_재차인원!$K$4:$O$4,0))</f>
        <v>1.2547229958382543E-3</v>
      </c>
      <c r="DD40" s="267">
        <f>INDEX($AA$34:$AN$42,MATCH($CW40,$L$34:$L$42,0),MATCH(DD$35,$AA$35:$AN$35,0))/INDEX(고양시_재차인원!$K$4:$O$20,MATCH("경기도",고양시_재차인원!$K$4:$K$20,0),MATCH(DD$35,고양시_재차인원!$K$4:$O$4,0))</f>
        <v>0.34881299284303463</v>
      </c>
      <c r="DE40" s="267">
        <f>INDEX($AA$34:$AN$42,MATCH($CW40,$L$34:$L$42,0),MATCH(DE$35,$AA$35:$AN$35,0))/INDEX(고양시_재차인원!$D$4:$H$35,MATCH("고양시",고양시_재차인원!$B$4:$B$35,0),MATCH($DB$34,고양시_재차인원!$D$4:$H$4,0))</f>
        <v>7.7370847270605454</v>
      </c>
      <c r="DF40" s="267">
        <f>INDEX($AO$34:$BB$42,MATCH($CW40,$L$34:$L$42,0),MATCH(DF$35,$AO$35:$BB$35,0))/INDEX(고양시_재차인원!$D$4:$H$35,MATCH("고양시",고양시_재차인원!$B$4:$B$35,0),MATCH($DF$34,고양시_재차인원!$D$4:$H$4,0))</f>
        <v>5.7925975041222317</v>
      </c>
      <c r="DG40" s="267">
        <f>INDEX($AO$34:$BB$42,MATCH($CW40,$L$34:$L$42,0),MATCH(DG$35,$AO$35:$BB$35,0))/INDEX(고양시_재차인원!$K$4:$O$20,MATCH("경기도",고양시_재차인원!$K$4:$K$20,0),MATCH(DG$35,고양시_재차인원!$K$4:$O$4,0))</f>
        <v>5.5616039833559801E-5</v>
      </c>
      <c r="DH40" s="267">
        <f>INDEX($AO$34:$BB$42,MATCH($CW40,$L$34:$L$42,0),MATCH(DH$35,$AO$35:$BB$35,0))/INDEX(고양시_재차인원!$K$4:$O$20,MATCH("경기도",고양시_재차인원!$K$4:$K$20,0),MATCH(DH$35,고양시_재차인원!$K$4:$O$4,0))</f>
        <v>1.5461259073729623E-2</v>
      </c>
      <c r="DI40" s="267">
        <f>INDEX($AO$34:$BB$42,MATCH($CW40,$L$34:$L$42,0),MATCH(DI$35,$AO$35:$BB$35,0))/INDEX(고양시_재차인원!$D$4:$H$35,MATCH("고양시",고양시_재차인원!$B$4:$B$35,0),MATCH($DF$34,고양시_재차인원!$D$4:$H$4,0))</f>
        <v>0.37196777508928641</v>
      </c>
      <c r="DJ40" s="267">
        <f>INDEX($BC$34:$BP$42,MATCH($CW40,$L$34:$L$42,0),MATCH(DJ$35,$BC$35:$BP$35,0))/INDEX(고양시_재차인원!$D$4:$H$35,MATCH("고양시",고양시_재차인원!$B$4:$B$35,0),MATCH($DJ$34,고양시_재차인원!$D$4:$H$4,0))</f>
        <v>1.5015706391543095E-2</v>
      </c>
      <c r="DK40" s="267">
        <f>INDEX($BC$34:$BP$42,MATCH($CW40,$L$34:$L$42,0),MATCH(DK$35,$BC$35:$BP$35,0))/INDEX(고양시_재차인원!$K$4:$O$20,MATCH("경기도",고양시_재차인원!$K$4:$K$20,0),MATCH(DK$35,고양시_재차인원!$K$4:$O$4,0))</f>
        <v>1.5082315887066987E-7</v>
      </c>
      <c r="DL40" s="267">
        <f>INDEX($BC$34:$BP$42,MATCH($CW40,$L$34:$L$42,0),MATCH(DL$35,$BC$35:$BP$35,0))/INDEX(고양시_재차인원!$K$4:$O$20,MATCH("경기도",고양시_재차인원!$K$4:$K$20,0),MATCH(DL$35,고양시_재차인원!$K$4:$O$4,0))</f>
        <v>4.1928838166046221E-5</v>
      </c>
      <c r="DM40" s="267">
        <f>INDEX($BC$34:$BP$42,MATCH($CW40,$L$34:$L$42,0),MATCH(DM$35,$BC$35:$BP$35,0))/INDEX(고양시_재차인원!$D$4:$H$35,MATCH("고양시",고양시_재차인원!$B$4:$B$35,0),MATCH($DJ$34,고양시_재차인원!$D$4:$H$4,0))</f>
        <v>9.6422354459834445E-4</v>
      </c>
      <c r="DN40" s="267">
        <f>INDEX($BQ$34:$CD$42,MATCH($CW40,$L$34:$L$42,0),MATCH(DN$35,$BQ$35:$CD$35,0))/INDEX(고양시_재차인원!$D$4:$H$35,MATCH("고양시",고양시_재차인원!$B$4:$B$35,0),MATCH($DN$34,고양시_재차인원!$D$4:$H$4,0))</f>
        <v>4.5921049176253864E-2</v>
      </c>
      <c r="DO40" s="267">
        <f>INDEX($BQ$34:$CD$42,MATCH($CW40,$L$34:$L$42,0),MATCH(DO$35,$BQ$35:$CD$35,0))/INDEX(고양시_재차인원!$K$4:$O$20,MATCH("경기도",고양시_재차인원!$K$4:$K$20,0),MATCH(DO$35,고양시_재차인원!$K$4:$O$4,0))</f>
        <v>4.2733228346690142E-7</v>
      </c>
      <c r="DP40" s="267">
        <f>INDEX($BQ$34:$CD$42,MATCH($CW40,$L$34:$L$42,0),MATCH(DP$35,$BQ$35:$CD$35,0))/INDEX(고양시_재차인원!$K$4:$O$20,MATCH("경기도",고양시_재차인원!$K$4:$K$20,0),MATCH(DP$35,고양시_재차인원!$K$4:$O$4,0))</f>
        <v>1.1879837480379858E-4</v>
      </c>
      <c r="DQ40" s="267">
        <f>INDEX($BQ$34:$CD$42,MATCH($CW40,$L$34:$L$42,0),MATCH(DQ$35,$BQ$35:$CD$35,0))/INDEX(고양시_재차인원!$D$4:$H$35,MATCH("고양시",고양시_재차인원!$B$4:$B$35,0),MATCH($DN$34,고양시_재차인원!$D$4:$H$4,0))</f>
        <v>2.9487894644330565E-3</v>
      </c>
      <c r="DR40" s="270">
        <f t="shared" si="12"/>
        <v>145.84863012933533</v>
      </c>
      <c r="DS40" s="270">
        <f t="shared" si="6"/>
        <v>1.4722728339126244E-3</v>
      </c>
      <c r="DT40" s="270">
        <f t="shared" si="6"/>
        <v>0.4092918478277095</v>
      </c>
      <c r="DU40" s="270">
        <f t="shared" si="6"/>
        <v>9.3655722515541715</v>
      </c>
      <c r="DW40" s="278"/>
      <c r="DX40" s="278" t="s">
        <v>716</v>
      </c>
      <c r="DY40" s="281">
        <f t="shared" si="13"/>
        <v>155.2142023808895</v>
      </c>
      <c r="DZ40" s="281">
        <f t="shared" si="14"/>
        <v>0.4107641206616221</v>
      </c>
      <c r="EB40" s="278"/>
      <c r="EC40" s="278" t="s">
        <v>673</v>
      </c>
      <c r="ED40" s="281">
        <f t="shared" si="15"/>
        <v>155.2142023808895</v>
      </c>
      <c r="EE40" s="281">
        <f t="shared" si="7"/>
        <v>0.4107641206616221</v>
      </c>
    </row>
    <row r="41" spans="1:157" ht="37.5">
      <c r="A41" s="205" t="s">
        <v>702</v>
      </c>
      <c r="B41" s="205" t="s">
        <v>721</v>
      </c>
      <c r="C41" s="400">
        <f>$D13*KTDB_TripDistribution_2040!L$12 * (1+KTDB_발생량도착량_증가율!$C$8) * (1+KTDB_발생량도착량_증가율!$D$7*5) * (1+KTDB_발생량도착량_증가율!$E$7*5) * (1+KTDB_발생량도착량_증가율!$F$7*5)</f>
        <v>5.3891287194524722</v>
      </c>
      <c r="D41" s="400">
        <f>$D13*KTDB_TripDistribution_2040!M$12 * (1+KTDB_발생량도착량_증가율!$C$8) * (1+KTDB_발생량도착량_증가율!$D$7*5) * (1+KTDB_발생량도착량_증가율!$E$7*5) * (1+KTDB_발생량도착량_증가율!$F$7*5)</f>
        <v>41.906583584899451</v>
      </c>
      <c r="E41" s="400">
        <f>$D13*KTDB_TripDistribution_2040!N$12 * (1+KTDB_발생량도착량_증가율!$C$8) * (1+KTDB_발생량도착량_증가율!$D$7*5) * (1+KTDB_발생량도착량_증가율!$E$7*5) * (1+KTDB_발생량도착량_증가율!$F$7*5)</f>
        <v>1.8575241146266663</v>
      </c>
      <c r="F41" s="400">
        <f>$D13*KTDB_TripDistribution_2040!O$12 * (1+KTDB_발생량도착량_증가율!$C$8) * (1+KTDB_발생량도착량_증가율!$D$7*5) * (1+KTDB_발생량도착량_증가율!$E$7*5) * (1+KTDB_발생량도착량_증가율!$F$7*5)</f>
        <v>5.0373535311909355E-3</v>
      </c>
      <c r="G41" s="400">
        <f>$D13*KTDB_TripDistribution_2040!P$12 * (1+KTDB_발생량도착량_증가율!$C$8) * (1+KTDB_발생량도착량_증가율!$D$7*5) * (1+KTDB_발생량도착량_증가율!$E$7*5) * (1+KTDB_발생량도착량_증가율!$F$7*5)</f>
        <v>1.4272501671707762E-2</v>
      </c>
      <c r="H41" s="400">
        <f>$D13*KTDB_TripDistribution_2040!Q$12 * (1+KTDB_발생량도착량_증가율!$C$8) * (1+KTDB_발생량도착량_증가율!$D$7*5) * (1+KTDB_발생량도착량_증가율!$E$7*5) * (1+KTDB_발생량도착량_증가율!$F$7*5)</f>
        <v>49.172546274181492</v>
      </c>
      <c r="K41" s="206"/>
      <c r="L41" s="206" t="s">
        <v>720</v>
      </c>
      <c r="M41" s="206">
        <f>INDEX($A$35:$H$42,MATCH($L41,$B$35:$B$42,0),MATCH($M$34,$A$35:$H$35,0))*고양시_Modal_split!C$3 * 0.01</f>
        <v>1.5089560414466921E-2</v>
      </c>
      <c r="N41" s="206">
        <f>INDEX($A$35:$H$42,MATCH($L41,$B$35:$B$42,0),MATCH($M$34,$A$35:$H$35,0))*고양시_Modal_split!D$3 * 0.01</f>
        <v>2.5345072367584978</v>
      </c>
      <c r="O41" s="206">
        <f>INDEX($A$35:$H$42,MATCH($L41,$B$35:$B$42,0),MATCH($M$34,$A$35:$H$35,0))*고양시_Modal_split!E$3 * 0.01</f>
        <v>0.30664142413684564</v>
      </c>
      <c r="P41" s="206">
        <f>INDEX($A$35:$H$42,MATCH($L41,$B$35:$B$42,0),MATCH($M$34,$A$35:$H$35,0))*고양시_Modal_split!F$3 * 0.01</f>
        <v>0.49418310357379169</v>
      </c>
      <c r="Q41" s="206">
        <f>INDEX($A$35:$H$42,MATCH($L41,$B$35:$B$42,0),MATCH($M$34,$A$35:$H$35,0))*고양시_Modal_split!G$3 * 0.01</f>
        <v>4.9579984218962744E-2</v>
      </c>
      <c r="R41" s="206">
        <f>INDEX($A$35:$H$42,MATCH($L41,$B$35:$B$42,0),MATCH($M$34,$A$35:$H$35,0))*고양시_Modal_split!H$3 * 0.01</f>
        <v>5.3891287194524724E-4</v>
      </c>
      <c r="S41" s="206">
        <f>INDEX($A$35:$H$42,MATCH($L41,$B$35:$B$42,0),MATCH($M$34,$A$35:$H$35,0))*고양시_Modal_split!I$3 * 0.01</f>
        <v>0.14981777840077873</v>
      </c>
      <c r="T41" s="206">
        <f>INDEX($A$35:$H$42,MATCH($L41,$B$35:$B$42,0),MATCH($M$34,$A$35:$H$35,0))*고양시_Modal_split!J$3 * 0.01</f>
        <v>1.6404507822013326</v>
      </c>
      <c r="U41" s="206">
        <f>INDEX($A$35:$H$42,MATCH($L41,$B$35:$B$42,0),MATCH($M$34,$A$35:$H$35,0))*고양시_Modal_split!K$3 * 0.01</f>
        <v>8.0836930791787082E-3</v>
      </c>
      <c r="V41" s="206">
        <f>INDEX($A$35:$H$42,MATCH($L41,$B$35:$B$42,0),MATCH($M$34,$A$35:$H$35,0))*고양시_Modal_split!L$3 * 0.01</f>
        <v>0.16275168732746464</v>
      </c>
      <c r="W41" s="206">
        <f>INDEX($A$35:$H$42,MATCH($L41,$B$35:$B$42,0),MATCH($M$34,$A$35:$H$35,0))*고양시_Modal_split!M$3 * 0.01</f>
        <v>1.2394996054740686E-2</v>
      </c>
      <c r="X41" s="206">
        <f>INDEX($A$35:$H$42,MATCH($L41,$B$35:$B$42,0),MATCH($M$34,$A$35:$H$35,0))*고양시_Modal_split!N$3 * 0.01</f>
        <v>5.3891287194524733E-3</v>
      </c>
      <c r="Y41" s="206">
        <f>INDEX($A$35:$H$42,MATCH($L41,$B$35:$B$42,0),MATCH($M$34,$A$35:$H$35,0))*고양시_Modal_split!O$3 * 0.01</f>
        <v>9.7004316950144494E-3</v>
      </c>
      <c r="Z41" s="209">
        <f>INDEX($A$35:$H$42,MATCH($L41,$B$35:$B$42,0),MATCH($M$34,$A$35:$H$35,0))*고양시_Modal_split!P$3 * 0.01</f>
        <v>5.3891287194524713</v>
      </c>
      <c r="AA41" s="207">
        <f>INDEX($A$35:$H$42,MATCH($L41,$B$35:$B$42,0),MATCH($AA$34,$A$35:$H$35,0))*고양시_Modal_split!C$3 * 0.01</f>
        <v>0.11733843403771844</v>
      </c>
      <c r="AB41" s="207">
        <f>INDEX($A$35:$H$42,MATCH($L41,$B$35:$B$42,0),MATCH($AA$34,$A$35:$H$35,0))*고양시_Modal_split!D$3 * 0.01</f>
        <v>19.708666259978212</v>
      </c>
      <c r="AC41" s="207">
        <f>INDEX($A$35:$H$42,MATCH($L41,$B$35:$B$42,0),MATCH($AA$34,$A$35:$H$35,0))*고양시_Modal_split!E$3 * 0.01</f>
        <v>2.3844846059807785</v>
      </c>
      <c r="AD41" s="207">
        <f>INDEX($A$35:$H$42,MATCH($L41,$B$35:$B$42,0),MATCH($AA$34,$A$35:$H$35,0))*고양시_Modal_split!F$3 * 0.01</f>
        <v>3.8428337147352796</v>
      </c>
      <c r="AE41" s="207">
        <f>INDEX($A$35:$H$42,MATCH($L41,$B$35:$B$42,0),MATCH($AA$34,$A$35:$H$35,0))*고양시_Modal_split!G$3 * 0.01</f>
        <v>0.38554056898107492</v>
      </c>
      <c r="AF41" s="207">
        <f>INDEX($A$35:$H$42,MATCH($L41,$B$35:$B$42,0),MATCH($AA$34,$A$35:$H$35,0))*고양시_Modal_split!H$3 * 0.01</f>
        <v>4.1906583584899451E-3</v>
      </c>
      <c r="AG41" s="207">
        <f>INDEX($A$35:$H$42,MATCH($L41,$B$35:$B$42,0),MATCH($AA$34,$A$35:$H$35,0))*고양시_Modal_split!I$3 * 0.01</f>
        <v>1.1650030236602047</v>
      </c>
      <c r="AH41" s="207">
        <f>INDEX($A$35:$H$42,MATCH($L41,$B$35:$B$42,0),MATCH($AA$34,$A$35:$H$35,0))*고양시_Modal_split!J$3 * 0.01</f>
        <v>12.756364043243394</v>
      </c>
      <c r="AI41" s="207">
        <f>INDEX($A$35:$H$42,MATCH($L41,$B$35:$B$42,0),MATCH($AA$34,$A$35:$H$35,0))*고양시_Modal_split!K$3 * 0.01</f>
        <v>6.2859875377349175E-2</v>
      </c>
      <c r="AJ41" s="207">
        <f>INDEX($A$35:$H$42,MATCH($L41,$B$35:$B$42,0),MATCH($AA$34,$A$35:$H$35,0))*고양시_Modal_split!L$3 * 0.01</f>
        <v>1.2655788242639634</v>
      </c>
      <c r="AK41" s="207">
        <f>INDEX($A$35:$H$42,MATCH($L41,$B$35:$B$42,0),MATCH($AA$34,$A$35:$H$35,0))*고양시_Modal_split!M$3 * 0.01</f>
        <v>9.6385142245268729E-2</v>
      </c>
      <c r="AL41" s="207">
        <f>INDEX($A$35:$H$42,MATCH($L41,$B$35:$B$42,0),MATCH($AA$34,$A$35:$H$35,0))*고양시_Modal_split!N$3 * 0.01</f>
        <v>4.1906583584899453E-2</v>
      </c>
      <c r="AM41" s="207">
        <f>INDEX($A$35:$H$42,MATCH($L41,$B$35:$B$42,0),MATCH($AA$34,$A$35:$H$35,0))*고양시_Modal_split!O$3 * 0.01</f>
        <v>7.5431850452819013E-2</v>
      </c>
      <c r="AN41" s="207">
        <f>INDEX($A$35:$H$42,MATCH($L41,$B$35:$B$42,0),MATCH($AA$34,$A$35:$H$35,0))*고양시_Modal_split!P$3 * 0.01</f>
        <v>41.906583584899458</v>
      </c>
      <c r="AO41" s="303">
        <f>INDEX($A$35:$H$42,MATCH($L41,$B$35:$B$42,0),MATCH($AO$34,$A$35:$H$35,0))*고양시_Modal_split!C$3 * 0.01</f>
        <v>5.201067520954665E-3</v>
      </c>
      <c r="AP41" s="303">
        <f>INDEX($A$35:$H$42,MATCH($L41,$B$35:$B$42,0),MATCH($AO$34,$A$35:$H$35,0))*고양시_Modal_split!D$3 * 0.01</f>
        <v>0.87359359110892121</v>
      </c>
      <c r="AQ41" s="303">
        <f>INDEX($A$35:$H$42,MATCH($L41,$B$35:$B$42,0),MATCH($AO$34,$A$35:$H$35,0))*고양시_Modal_split!E$3 * 0.01</f>
        <v>0.1056931221222573</v>
      </c>
      <c r="AR41" s="303">
        <f>INDEX($A$35:$H$42,MATCH($L41,$B$35:$B$42,0),MATCH($AO$34,$A$35:$H$35,0))*고양시_Modal_split!F$3 * 0.01</f>
        <v>0.1703349613112653</v>
      </c>
      <c r="AS41" s="303">
        <f>INDEX($A$35:$H$42,MATCH($L41,$B$35:$B$42,0),MATCH($AO$34,$A$35:$H$35,0))*고양시_Modal_split!G$3 * 0.01</f>
        <v>1.708922185456533E-2</v>
      </c>
      <c r="AT41" s="303">
        <f>INDEX($A$35:$H$42,MATCH($L41,$B$35:$B$42,0),MATCH($AO$34,$A$35:$H$35,0))*고양시_Modal_split!H$3 * 0.01</f>
        <v>1.8575241146266664E-4</v>
      </c>
      <c r="AU41" s="303">
        <f>INDEX($A$35:$H$42,MATCH($L41,$B$35:$B$42,0),MATCH($AO$34,$A$35:$H$35,0))*고양시_Modal_split!I$3 * 0.01</f>
        <v>5.1639170386621316E-2</v>
      </c>
      <c r="AV41" s="303">
        <f>INDEX($A$35:$H$42,MATCH($L41,$B$35:$B$42,0),MATCH($AO$34,$A$35:$H$35,0))*고양시_Modal_split!J$3 * 0.01</f>
        <v>0.5654303404923573</v>
      </c>
      <c r="AW41" s="303">
        <f>INDEX($A$35:$H$42,MATCH($L41,$B$35:$B$42,0),MATCH($AO$34,$A$35:$H$35,0))*고양시_Modal_split!K$3 * 0.01</f>
        <v>2.7862861719399994E-3</v>
      </c>
      <c r="AX41" s="303">
        <f>INDEX($A$35:$H$42,MATCH($L41,$B$35:$B$42,0),MATCH($AO$34,$A$35:$H$35,0))*고양시_Modal_split!L$3 * 0.01</f>
        <v>5.6097228261725328E-2</v>
      </c>
      <c r="AY41" s="303">
        <f>INDEX($A$35:$H$42,MATCH($L41,$B$35:$B$42,0),MATCH($AO$34,$A$35:$H$35,0))*고양시_Modal_split!M$3 * 0.01</f>
        <v>4.2723054636413325E-3</v>
      </c>
      <c r="AZ41" s="303">
        <f>INDEX($A$35:$H$42,MATCH($L41,$B$35:$B$42,0),MATCH($AO$34,$A$35:$H$35,0))*고양시_Modal_split!N$3 * 0.01</f>
        <v>1.8575241146266664E-3</v>
      </c>
      <c r="BA41" s="207">
        <f>INDEX($A$35:$H$42,MATCH($L41,$B$35:$B$42,0),MATCH($AO$34,$A$35:$H$35,0))*고양시_Modal_split!O$3 * 0.01</f>
        <v>3.3435434063279995E-3</v>
      </c>
      <c r="BB41" s="207">
        <f>INDEX($A$35:$H$42,MATCH($L41,$B$35:$B$42,0),MATCH($AO$34,$A$35:$H$35,0))*고양시_Modal_split!P$3 * 0.01</f>
        <v>1.8575241146266663</v>
      </c>
      <c r="BC41" s="207">
        <f>INDEX($A$35:$H$42,MATCH($L41,$B$35:$B$42,0),MATCH($BC$34,$A$35:$H$35,0))*고양시_Modal_split!C$3 * 0.01</f>
        <v>1.4104589887334618E-5</v>
      </c>
      <c r="BD41" s="207">
        <f>INDEX($A$35:$H$42,MATCH($L41,$B$35:$B$42,0),MATCH($BC$34,$A$35:$H$35,0))*고양시_Modal_split!D$3 * 0.01</f>
        <v>2.3690673657190968E-3</v>
      </c>
      <c r="BE41" s="207">
        <f>INDEX($A$35:$H$42,MATCH($L41,$B$35:$B$42,0),MATCH($BC$34,$A$35:$H$35,0))*고양시_Modal_split!E$3 * 0.01</f>
        <v>2.8662541592476424E-4</v>
      </c>
      <c r="BF41" s="207">
        <f>INDEX($A$35:$H$42,MATCH($L41,$B$35:$B$42,0),MATCH($BC$34,$A$35:$H$35,0))*고양시_Modal_split!F$3 * 0.01</f>
        <v>4.6192531881020878E-4</v>
      </c>
      <c r="BG41" s="207">
        <f>INDEX($A$35:$H$42,MATCH($L41,$B$35:$B$42,0),MATCH($BC$34,$A$35:$H$35,0))*고양시_Modal_split!G$3 * 0.01</f>
        <v>4.6343652486956602E-5</v>
      </c>
      <c r="BH41" s="207">
        <f>INDEX($A$35:$H$42,MATCH($L41,$B$35:$B$42,0),MATCH($BC$34,$A$35:$H$35,0))*고양시_Modal_split!H$3 * 0.01</f>
        <v>5.0373535311909353E-7</v>
      </c>
      <c r="BI41" s="207">
        <f>INDEX($A$35:$H$42,MATCH($L41,$B$35:$B$42,0),MATCH($BC$34,$A$35:$H$35,0))*고양시_Modal_split!I$3 * 0.01</f>
        <v>1.4003842816710801E-4</v>
      </c>
      <c r="BJ41" s="207">
        <f>INDEX($A$35:$H$42,MATCH($L41,$B$35:$B$42,0),MATCH($BC$34,$A$35:$H$35,0))*고양시_Modal_split!J$3 * 0.01</f>
        <v>1.5333704148945207E-3</v>
      </c>
      <c r="BK41" s="207">
        <f>INDEX($A$35:$H$42,MATCH($L41,$B$35:$B$42,0),MATCH($BC$34,$A$35:$H$35,0))*고양시_Modal_split!K$3 * 0.01</f>
        <v>7.5560302967864031E-6</v>
      </c>
      <c r="BL41" s="207">
        <f>INDEX($A$35:$H$42,MATCH($L41,$B$35:$B$42,0),MATCH($BC$34,$A$35:$H$35,0))*고양시_Modal_split!L$3 * 0.01</f>
        <v>1.5212807664196626E-4</v>
      </c>
      <c r="BM41" s="207">
        <f>INDEX($A$35:$H$42,MATCH($L41,$B$35:$B$42,0),MATCH($BC$34,$A$35:$H$35,0))*고양시_Modal_split!M$3 * 0.01</f>
        <v>1.1585913121739151E-5</v>
      </c>
      <c r="BN41" s="207">
        <f>INDEX($A$35:$H$42,MATCH($L41,$B$35:$B$42,0),MATCH($BC$34,$A$35:$H$35,0))*고양시_Modal_split!N$3 * 0.01</f>
        <v>5.037353531190936E-6</v>
      </c>
      <c r="BO41" s="207">
        <f>INDEX($A$35:$H$42,MATCH($L41,$B$35:$B$42,0),MATCH($BC$34,$A$35:$H$35,0))*고양시_Modal_split!O$3 * 0.01</f>
        <v>9.0672363561436834E-6</v>
      </c>
      <c r="BP41" s="207">
        <f>INDEX($A$35:$H$42,MATCH($L41,$B$35:$B$42,0),MATCH($BC$34,$A$35:$H$35,0))*고양시_Modal_split!P$3 * 0.01</f>
        <v>5.0373535311909355E-3</v>
      </c>
      <c r="BQ41" s="207">
        <f>INDEX($A$35:$H$42,MATCH($L41,$B$35:$B$42,0),MATCH($BQ$34,$A$35:$H$35,0))*고양시_Modal_split!C$3 * 0.01</f>
        <v>3.9963004680781733E-5</v>
      </c>
      <c r="BR41" s="207">
        <f>INDEX($A$35:$H$42,MATCH($L41,$B$35:$B$42,0),MATCH($BQ$34,$A$35:$H$35,0))*고양시_Modal_split!D$3 * 0.01</f>
        <v>6.7123575362041613E-3</v>
      </c>
      <c r="BS41" s="207">
        <f>INDEX($A$35:$H$42,MATCH($L41,$B$35:$B$42,0),MATCH($BQ$34,$A$35:$H$35,0))*고양시_Modal_split!E$3 * 0.01</f>
        <v>8.1210534512017162E-4</v>
      </c>
      <c r="BT41" s="207">
        <f>INDEX($A$35:$H$42,MATCH($L41,$B$35:$B$42,0),MATCH($BQ$34,$A$35:$H$35,0))*고양시_Modal_split!F$3 * 0.01</f>
        <v>1.3087884032956017E-3</v>
      </c>
      <c r="BU41" s="207">
        <f>INDEX($A$35:$H$42,MATCH($L41,$B$35:$B$42,0),MATCH($BQ$34,$A$35:$H$35,0))*고양시_Modal_split!G$3 * 0.01</f>
        <v>1.3130701537971139E-4</v>
      </c>
      <c r="BV41" s="207">
        <f>INDEX($A$35:$H$42,MATCH($L41,$B$35:$B$42,0),MATCH($BQ$34,$A$35:$H$35,0))*고양시_Modal_split!H$3 * 0.01</f>
        <v>1.4272501671707763E-6</v>
      </c>
      <c r="BW41" s="207">
        <f>INDEX($A$35:$H$42,MATCH($L41,$B$35:$B$42,0),MATCH($BQ$34,$A$35:$H$35,0))*고양시_Modal_split!I$3 * 0.01</f>
        <v>3.9677554647347577E-4</v>
      </c>
      <c r="BX41" s="207">
        <f>INDEX($A$35:$H$42,MATCH($L41,$B$35:$B$42,0),MATCH($BQ$34,$A$35:$H$35,0))*고양시_Modal_split!J$3 * 0.01</f>
        <v>4.3445495088678433E-3</v>
      </c>
      <c r="BY41" s="207">
        <f>INDEX($A$35:$H$42,MATCH($L41,$B$35:$B$42,0),MATCH($BQ$34,$A$35:$H$35,0))*고양시_Modal_split!K$3 * 0.01</f>
        <v>2.140875250756164E-5</v>
      </c>
      <c r="BZ41" s="207">
        <f>INDEX($A$35:$H$42,MATCH($L41,$B$35:$B$42,0),MATCH($BQ$34,$A$35:$H$35,0))*고양시_Modal_split!L$3 * 0.01</f>
        <v>4.3102955048557442E-4</v>
      </c>
      <c r="CA41" s="207">
        <f>INDEX($A$35:$H$42,MATCH($L41,$B$35:$B$42,0),MATCH($BQ$34,$A$35:$H$35,0))*고양시_Modal_split!M$3 * 0.01</f>
        <v>3.2826753844927847E-5</v>
      </c>
      <c r="CB41" s="207">
        <f>INDEX($A$35:$H$42,MATCH($L41,$B$35:$B$42,0),MATCH($BQ$34,$A$35:$H$35,0))*고양시_Modal_split!N$3 * 0.01</f>
        <v>1.4272501671707763E-5</v>
      </c>
      <c r="CC41" s="207">
        <f>INDEX($A$35:$H$42,MATCH($L41,$B$35:$B$42,0),MATCH($BQ$34,$A$35:$H$35,0))*고양시_Modal_split!O$3 * 0.01</f>
        <v>2.5690503009073975E-5</v>
      </c>
      <c r="CD41" s="207">
        <f>INDEX($A$35:$H$42,MATCH($L41,$B$35:$B$42,0),MATCH($BQ$34,$A$35:$H$35,0))*고양시_Modal_split!P$3 * 0.01</f>
        <v>1.4272501671707762E-2</v>
      </c>
      <c r="CE41" s="304">
        <f t="shared" si="10"/>
        <v>0.13768312956770817</v>
      </c>
      <c r="CF41" s="304">
        <f t="shared" si="5"/>
        <v>23.125848512747556</v>
      </c>
      <c r="CG41" s="304">
        <f t="shared" si="5"/>
        <v>2.7979178830009261</v>
      </c>
      <c r="CH41" s="304">
        <f t="shared" si="5"/>
        <v>4.509122493342443</v>
      </c>
      <c r="CI41" s="304">
        <f t="shared" si="5"/>
        <v>0.4523874257224697</v>
      </c>
      <c r="CJ41" s="304">
        <f t="shared" si="5"/>
        <v>4.9172546274181489E-3</v>
      </c>
      <c r="CK41" s="304">
        <f t="shared" si="5"/>
        <v>1.3669967864222454</v>
      </c>
      <c r="CL41" s="304">
        <f t="shared" si="5"/>
        <v>14.968123085860846</v>
      </c>
      <c r="CM41" s="304">
        <f t="shared" si="5"/>
        <v>7.3758819411272228E-2</v>
      </c>
      <c r="CN41" s="304">
        <f t="shared" si="5"/>
        <v>1.4850108974802809</v>
      </c>
      <c r="CO41" s="304">
        <f t="shared" si="5"/>
        <v>0.11309685643061743</v>
      </c>
      <c r="CP41" s="304">
        <f t="shared" si="5"/>
        <v>4.9172546274181488E-2</v>
      </c>
      <c r="CQ41" s="304">
        <f t="shared" si="5"/>
        <v>8.8510583293526679E-2</v>
      </c>
      <c r="CR41" s="304">
        <f t="shared" si="5"/>
        <v>49.172546274181492</v>
      </c>
      <c r="CS41" s="305">
        <f t="shared" si="11"/>
        <v>0</v>
      </c>
      <c r="CV41" s="267"/>
      <c r="CW41" s="267" t="s">
        <v>720</v>
      </c>
      <c r="CX41" s="267">
        <f>INDEX($M$34:$Z$42,MATCH($CW41,$L$34:$L$42,0),MATCH(CX$35,$M$35:$Z$35,0))/INDEX(고양시_재차인원!$D$4:$H$35,MATCH("고양시",고양시_재차인원!$B$4:$B$35,0),MATCH($CX$34,고양시_재차인원!$D$4:$H$4,0))</f>
        <v>2.2629528899629441</v>
      </c>
      <c r="CY41" s="267">
        <f>INDEX($M$34:$Z$42,MATCH($CW41,$L$34:$L$42,0),MATCH(CY$35,$M$35:$Z$35,0))/INDEX(고양시_재차인원!$K$4:$O$20,MATCH("경기도",고양시_재차인원!$K$4:$K$20,0),MATCH(CY$35,고양시_재차인원!$K$4:$O$4,0))</f>
        <v>1.8718752064788025E-5</v>
      </c>
      <c r="CZ41" s="267">
        <f>INDEX($M$34:$Z$42,MATCH($CW41,$L$34:$L$42,0),MATCH(CZ$35,$M$35:$Z$35,0))/INDEX(고양시_재차인원!$K$4:$O$20,MATCH("경기도",고양시_재차인원!$K$4:$K$20,0),MATCH(CZ$35,고양시_재차인원!$K$4:$O$4,0))</f>
        <v>5.2038130740110706E-3</v>
      </c>
      <c r="DA41" s="267">
        <f>INDEX($M$34:$Z$42,MATCH($CW41,$L$34:$L$42,0),MATCH(DA$35,$M$35:$Z$35,0))/INDEX(고양시_재차인원!$D$4:$H$35,MATCH("고양시",고양시_재차인원!$B$4:$B$35,0),MATCH($CX$34,고양시_재차인원!$D$4:$H$4,0))</f>
        <v>0.14531400654237914</v>
      </c>
      <c r="DB41" s="267">
        <f>INDEX($AA$34:$AN$42,MATCH($CW41,$L$34:$L$42,0),MATCH(DB$35,$AA$35:$AN$35,0))/INDEX(고양시_재차인원!$D$4:$H$35,MATCH("고양시",고양시_재차인원!$B$4:$B$35,0),MATCH($DB$34,고양시_재차인원!$D$4:$H$4,0))</f>
        <v>13.97777748934625</v>
      </c>
      <c r="DC41" s="267">
        <f>INDEX($AA$34:$AN$42,MATCH($CW41,$L$34:$L$42,0),MATCH(DC$35,$AA$35:$AN$35,0))/INDEX(고양시_재차인원!$K$4:$O$20,MATCH("경기도",고양시_재차인원!$K$4:$K$20,0),MATCH(DC$35,고양시_재차인원!$K$4:$O$4,0))</f>
        <v>1.455595122782197E-4</v>
      </c>
      <c r="DD41" s="267">
        <f>INDEX($AA$34:$AN$42,MATCH($CW41,$L$34:$L$42,0),MATCH(DD$35,$AA$35:$AN$35,0))/INDEX(고양시_재차인원!$K$4:$O$20,MATCH("경기도",고양시_재차인원!$K$4:$K$20,0),MATCH(DD$35,고양시_재차인원!$K$4:$O$4,0))</f>
        <v>4.0465544413345073E-2</v>
      </c>
      <c r="DE41" s="267">
        <f>INDEX($AA$34:$AN$42,MATCH($CW41,$L$34:$L$42,0),MATCH(DE$35,$AA$35:$AN$35,0))/INDEX(고양시_재차인원!$D$4:$H$35,MATCH("고양시",고양시_재차인원!$B$4:$B$35,0),MATCH($DB$34,고양시_재차인원!$D$4:$H$4,0))</f>
        <v>0.89757363422976133</v>
      </c>
      <c r="DF41" s="267">
        <f>INDEX($AO$34:$BB$42,MATCH($CW41,$L$34:$L$42,0),MATCH(DF$35,$AO$35:$BB$35,0))/INDEX(고양시_재차인원!$D$4:$H$35,MATCH("고양시",고양시_재차인원!$B$4:$B$35,0),MATCH($DF$34,고양시_재차인원!$D$4:$H$4,0))</f>
        <v>0.67199507008378556</v>
      </c>
      <c r="DG41" s="267">
        <f>INDEX($AO$34:$BB$42,MATCH($CW41,$L$34:$L$42,0),MATCH(DG$35,$AO$35:$BB$35,0))/INDEX(고양시_재차인원!$K$4:$O$20,MATCH("경기도",고양시_재차인원!$K$4:$K$20,0),MATCH(DG$35,고양시_재차인원!$K$4:$O$4,0))</f>
        <v>6.4519767788352427E-6</v>
      </c>
      <c r="DH41" s="267">
        <f>INDEX($AO$34:$BB$42,MATCH($CW41,$L$34:$L$42,0),MATCH(DH$35,$AO$35:$BB$35,0))/INDEX(고양시_재차인원!$K$4:$O$20,MATCH("경기도",고양시_재차인원!$K$4:$K$20,0),MATCH(DH$35,고양시_재차인원!$K$4:$O$4,0))</f>
        <v>1.7936495445161971E-3</v>
      </c>
      <c r="DI41" s="267">
        <f>INDEX($AO$34:$BB$42,MATCH($CW41,$L$34:$L$42,0),MATCH(DI$35,$AO$35:$BB$35,0))/INDEX(고양시_재차인원!$D$4:$H$35,MATCH("고양시",고양시_재차인원!$B$4:$B$35,0),MATCH($DF$34,고양시_재차인원!$D$4:$H$4,0))</f>
        <v>4.315171404748102E-2</v>
      </c>
      <c r="DJ41" s="267">
        <f>INDEX($BC$34:$BP$42,MATCH($CW41,$L$34:$L$42,0),MATCH(DJ$35,$BC$35:$BP$35,0))/INDEX(고양시_재차인원!$D$4:$H$35,MATCH("고양시",고양시_재차인원!$B$4:$B$35,0),MATCH($DJ$34,고양시_재차인원!$D$4:$H$4,0))</f>
        <v>1.7419612983228651E-3</v>
      </c>
      <c r="DK41" s="267">
        <f>INDEX($BC$34:$BP$42,MATCH($CW41,$L$34:$L$42,0),MATCH(DK$35,$BC$35:$BP$35,0))/INDEX(고양시_재차인원!$K$4:$O$20,MATCH("경기도",고양시_재차인원!$K$4:$K$20,0),MATCH(DK$35,고양시_재차인원!$K$4:$O$4,0))</f>
        <v>1.7496886179892101E-8</v>
      </c>
      <c r="DL41" s="267">
        <f>INDEX($BC$34:$BP$42,MATCH($CW41,$L$34:$L$42,0),MATCH(DL$35,$BC$35:$BP$35,0))/INDEX(고양시_재차인원!$K$4:$O$20,MATCH("경기도",고양시_재차인원!$K$4:$K$20,0),MATCH(DL$35,고양시_재차인원!$K$4:$O$4,0))</f>
        <v>4.8641343580100044E-6</v>
      </c>
      <c r="DM41" s="267">
        <f>INDEX($BC$34:$BP$42,MATCH($CW41,$L$34:$L$42,0),MATCH(DM$35,$BC$35:$BP$35,0))/INDEX(고양시_재차인원!$D$4:$H$35,MATCH("고양시",고양시_재차인원!$B$4:$B$35,0),MATCH($DJ$34,고양시_재차인원!$D$4:$H$4,0))</f>
        <v>1.1185887988379871E-4</v>
      </c>
      <c r="DN41" s="267">
        <f>INDEX($BQ$34:$CD$42,MATCH($CW41,$L$34:$L$42,0),MATCH(DN$35,$BQ$35:$CD$35,0))/INDEX(고양시_재차인원!$D$4:$H$35,MATCH("고양시",고양시_재차인원!$B$4:$B$35,0),MATCH($DN$34,고양시_재차인원!$D$4:$H$4,0))</f>
        <v>5.3272678858763186E-3</v>
      </c>
      <c r="DO41" s="267">
        <f>INDEX($BQ$34:$CD$42,MATCH($CW41,$L$34:$L$42,0),MATCH(DO$35,$BQ$35:$CD$35,0))/INDEX(고양시_재차인원!$K$4:$O$20,MATCH("경기도",고양시_재차인원!$K$4:$K$20,0),MATCH(DO$35,고양시_재차인원!$K$4:$O$4,0))</f>
        <v>4.9574510843028005E-8</v>
      </c>
      <c r="DP41" s="267">
        <f>INDEX($BQ$34:$CD$42,MATCH($CW41,$L$34:$L$42,0),MATCH(DP$35,$BQ$35:$CD$35,0))/INDEX(고양시_재차인원!$K$4:$O$20,MATCH("경기도",고양시_재차인원!$K$4:$K$20,0),MATCH(DP$35,고양시_재차인원!$K$4:$O$4,0))</f>
        <v>1.3781714014361785E-5</v>
      </c>
      <c r="DQ41" s="267">
        <f>INDEX($BQ$34:$CD$42,MATCH($CW41,$L$34:$L$42,0),MATCH(DQ$35,$BQ$35:$CD$35,0))/INDEX(고양시_재차인원!$D$4:$H$35,MATCH("고양시",고양시_재차인원!$B$4:$B$35,0),MATCH($DN$34,고양시_재차인원!$D$4:$H$4,0))</f>
        <v>3.4208694482982095E-4</v>
      </c>
      <c r="DR41" s="270">
        <f t="shared" si="12"/>
        <v>16.919794678577176</v>
      </c>
      <c r="DS41" s="270">
        <f t="shared" si="6"/>
        <v>1.7079731251886589E-4</v>
      </c>
      <c r="DT41" s="270">
        <f t="shared" si="6"/>
        <v>4.748165288024471E-2</v>
      </c>
      <c r="DU41" s="270">
        <f t="shared" si="6"/>
        <v>1.0864933006443354</v>
      </c>
      <c r="DW41" s="278"/>
      <c r="DX41" s="278" t="s">
        <v>720</v>
      </c>
      <c r="DY41" s="281">
        <f t="shared" si="13"/>
        <v>18.006287979221511</v>
      </c>
      <c r="DZ41" s="281">
        <f t="shared" si="14"/>
        <v>4.7652450192763575E-2</v>
      </c>
      <c r="EB41" s="278"/>
      <c r="EC41" s="278" t="s">
        <v>13</v>
      </c>
      <c r="ED41" s="281">
        <f t="shared" si="15"/>
        <v>18.006287979221511</v>
      </c>
      <c r="EE41" s="281">
        <f t="shared" si="7"/>
        <v>4.7652450192763575E-2</v>
      </c>
    </row>
    <row r="42" spans="1:157" ht="37.5">
      <c r="A42" s="205" t="s">
        <v>702</v>
      </c>
      <c r="B42" s="205" t="s">
        <v>723</v>
      </c>
      <c r="C42" s="400">
        <f>$D14*KTDB_TripDistribution_2040!L$12 * (1+KTDB_발생량도착량_증가율!$C$8) * (1+KTDB_발생량도착량_증가율!$D$7*5) * (1+KTDB_발생량도착량_증가율!$E$7*5) * (1+KTDB_발생량도착량_증가율!$F$7*5)</f>
        <v>32.334772316714826</v>
      </c>
      <c r="D42" s="400">
        <f>$D14*KTDB_TripDistribution_2040!M$12 * (1+KTDB_발생량도착량_증가율!$C$8) * (1+KTDB_발생량도착량_증가율!$D$7*5) * (1+KTDB_발생량도착량_증가율!$E$7*5) * (1+KTDB_발생량도착량_증가율!$F$7*5)</f>
        <v>251.43950150939676</v>
      </c>
      <c r="E42" s="400">
        <f>$D14*KTDB_TripDistribution_2040!N$12 * (1+KTDB_발생량도착량_증가율!$C$8) * (1+KTDB_발생량도착량_증가율!$D$7*5) * (1+KTDB_발생량도착량_증가율!$E$7*5) * (1+KTDB_발생량도착량_증가율!$F$7*5)</f>
        <v>11.145144687759997</v>
      </c>
      <c r="F42" s="400">
        <f>$D14*KTDB_TripDistribution_2040!O$12 * (1+KTDB_발생량도착량_증가율!$C$8) * (1+KTDB_발생량도착량_증가율!$D$7*5) * (1+KTDB_발생량도착량_증가율!$E$7*5) * (1+KTDB_발생량도착량_증가율!$F$7*5)</f>
        <v>3.0224121187145604E-2</v>
      </c>
      <c r="G42" s="400">
        <f>$D14*KTDB_TripDistribution_2040!P$12 * (1+KTDB_발생량도착량_증가율!$C$8) * (1+KTDB_발생량도착량_증가율!$D$7*5) * (1+KTDB_발생량도착량_증가율!$E$7*5) * (1+KTDB_발생량도착량_증가율!$F$7*5)</f>
        <v>8.5635010030246553E-2</v>
      </c>
      <c r="H42" s="400">
        <f>$D14*KTDB_TripDistribution_2040!Q$12 * (1+KTDB_발생량도착량_증가율!$C$8) * (1+KTDB_발생량도착량_증가율!$D$7*5) * (1+KTDB_발생량도착량_증가율!$E$7*5) * (1+KTDB_발생량도착량_증가율!$F$7*5)</f>
        <v>295.03527764508891</v>
      </c>
      <c r="I42" s="56"/>
      <c r="J42" s="56"/>
      <c r="K42" s="206"/>
      <c r="L42" s="206" t="s">
        <v>722</v>
      </c>
      <c r="M42" s="206">
        <f>INDEX($A$35:$H$42,MATCH($L42,$B$35:$B$42,0),MATCH($M$34,$A$35:$H$35,0))*고양시_Modal_split!C$3 * 0.01</f>
        <v>9.0537362486801512E-2</v>
      </c>
      <c r="N42" s="206">
        <f>INDEX($A$35:$H$42,MATCH($L42,$B$35:$B$42,0),MATCH($M$34,$A$35:$H$35,0))*고양시_Modal_split!D$3 * 0.01</f>
        <v>15.207043420550983</v>
      </c>
      <c r="O42" s="206">
        <f>INDEX($A$35:$H$42,MATCH($L42,$B$35:$B$42,0),MATCH($M$34,$A$35:$H$35,0))*고양시_Modal_split!E$3 * 0.01</f>
        <v>1.8398485448210735</v>
      </c>
      <c r="P42" s="206">
        <f>INDEX($A$35:$H$42,MATCH($L42,$B$35:$B$42,0),MATCH($M$34,$A$35:$H$35,0))*고양시_Modal_split!F$3 * 0.01</f>
        <v>2.9650986214427495</v>
      </c>
      <c r="Q42" s="206">
        <f>INDEX($A$35:$H$42,MATCH($L42,$B$35:$B$42,0),MATCH($M$34,$A$35:$H$35,0))*고양시_Modal_split!G$3 * 0.01</f>
        <v>0.29747990531377638</v>
      </c>
      <c r="R42" s="206">
        <f>INDEX($A$35:$H$42,MATCH($L42,$B$35:$B$42,0),MATCH($M$34,$A$35:$H$35,0))*고양시_Modal_split!H$3 * 0.01</f>
        <v>3.2334772316714826E-3</v>
      </c>
      <c r="S42" s="206">
        <f>INDEX($A$35:$H$42,MATCH($L42,$B$35:$B$42,0),MATCH($M$34,$A$35:$H$35,0))*고양시_Modal_split!I$3 * 0.01</f>
        <v>0.89890667040467209</v>
      </c>
      <c r="T42" s="206">
        <f>INDEX($A$35:$H$42,MATCH($L42,$B$35:$B$42,0),MATCH($M$34,$A$35:$H$35,0))*고양시_Modal_split!J$3 * 0.01</f>
        <v>9.8427046932079936</v>
      </c>
      <c r="U42" s="206">
        <f>INDEX($A$35:$H$42,MATCH($L42,$B$35:$B$42,0),MATCH($M$34,$A$35:$H$35,0))*고양시_Modal_split!K$3 * 0.01</f>
        <v>4.8502158475072242E-2</v>
      </c>
      <c r="V42" s="206">
        <f>INDEX($A$35:$H$42,MATCH($L42,$B$35:$B$42,0),MATCH($M$34,$A$35:$H$35,0))*고양시_Modal_split!L$3 * 0.01</f>
        <v>0.97651012396478776</v>
      </c>
      <c r="W42" s="206">
        <f>INDEX($A$35:$H$42,MATCH($L42,$B$35:$B$42,0),MATCH($M$34,$A$35:$H$35,0))*고양시_Modal_split!M$3 * 0.01</f>
        <v>7.4369976328444096E-2</v>
      </c>
      <c r="X42" s="206">
        <f>INDEX($A$35:$H$42,MATCH($L42,$B$35:$B$42,0),MATCH($M$34,$A$35:$H$35,0))*고양시_Modal_split!N$3 * 0.01</f>
        <v>3.2334772316714826E-2</v>
      </c>
      <c r="Y42" s="206">
        <f>INDEX($A$35:$H$42,MATCH($L42,$B$35:$B$42,0),MATCH($M$34,$A$35:$H$35,0))*고양시_Modal_split!O$3 * 0.01</f>
        <v>5.8202590170086686E-2</v>
      </c>
      <c r="Z42" s="209">
        <f>INDEX($A$35:$H$42,MATCH($L42,$B$35:$B$42,0),MATCH($M$34,$A$35:$H$35,0))*고양시_Modal_split!P$3 * 0.01</f>
        <v>32.334772316714826</v>
      </c>
      <c r="AA42" s="207">
        <f>INDEX($A$35:$H$42,MATCH($L42,$B$35:$B$42,0),MATCH($AA$34,$A$35:$H$35,0))*고양시_Modal_split!C$3 * 0.01</f>
        <v>0.70403060422631092</v>
      </c>
      <c r="AB42" s="207">
        <f>INDEX($A$35:$H$42,MATCH($L42,$B$35:$B$42,0),MATCH($AA$34,$A$35:$H$35,0))*고양시_Modal_split!D$3 * 0.01</f>
        <v>118.25199755986931</v>
      </c>
      <c r="AC42" s="207">
        <f>INDEX($A$35:$H$42,MATCH($L42,$B$35:$B$42,0),MATCH($AA$34,$A$35:$H$35,0))*고양시_Modal_split!E$3 * 0.01</f>
        <v>14.306907635884675</v>
      </c>
      <c r="AD42" s="207">
        <f>INDEX($A$35:$H$42,MATCH($L42,$B$35:$B$42,0),MATCH($AA$34,$A$35:$H$35,0))*고양시_Modal_split!F$3 * 0.01</f>
        <v>23.057002288411681</v>
      </c>
      <c r="AE42" s="207">
        <f>INDEX($A$35:$H$42,MATCH($L42,$B$35:$B$42,0),MATCH($AA$34,$A$35:$H$35,0))*고양시_Modal_split!G$3 * 0.01</f>
        <v>2.3132434138864499</v>
      </c>
      <c r="AF42" s="207">
        <f>INDEX($A$35:$H$42,MATCH($L42,$B$35:$B$42,0),MATCH($AA$34,$A$35:$H$35,0))*고양시_Modal_split!H$3 * 0.01</f>
        <v>2.5143950150939679E-2</v>
      </c>
      <c r="AG42" s="207">
        <f>INDEX($A$35:$H$42,MATCH($L42,$B$35:$B$42,0),MATCH($AA$34,$A$35:$H$35,0))*고양시_Modal_split!I$3 * 0.01</f>
        <v>6.9900181419612295</v>
      </c>
      <c r="AH42" s="207">
        <f>INDEX($A$35:$H$42,MATCH($L42,$B$35:$B$42,0),MATCH($AA$34,$A$35:$H$35,0))*고양시_Modal_split!J$3 * 0.01</f>
        <v>76.53818425946038</v>
      </c>
      <c r="AI42" s="207">
        <f>INDEX($A$35:$H$42,MATCH($L42,$B$35:$B$42,0),MATCH($AA$34,$A$35:$H$35,0))*고양시_Modal_split!K$3 * 0.01</f>
        <v>0.37715925226409514</v>
      </c>
      <c r="AJ42" s="207">
        <f>INDEX($A$35:$H$42,MATCH($L42,$B$35:$B$42,0),MATCH($AA$34,$A$35:$H$35,0))*고양시_Modal_split!L$3 * 0.01</f>
        <v>7.5934729455837831</v>
      </c>
      <c r="AK42" s="207">
        <f>INDEX($A$35:$H$42,MATCH($L42,$B$35:$B$42,0),MATCH($AA$34,$A$35:$H$35,0))*고양시_Modal_split!M$3 * 0.01</f>
        <v>0.57831085347161248</v>
      </c>
      <c r="AL42" s="207">
        <f>INDEX($A$35:$H$42,MATCH($L42,$B$35:$B$42,0),MATCH($AA$34,$A$35:$H$35,0))*고양시_Modal_split!N$3 * 0.01</f>
        <v>0.25143950150939676</v>
      </c>
      <c r="AM42" s="207">
        <f>INDEX($A$35:$H$42,MATCH($L42,$B$35:$B$42,0),MATCH($AA$34,$A$35:$H$35,0))*고양시_Modal_split!O$3 * 0.01</f>
        <v>0.45259110271691411</v>
      </c>
      <c r="AN42" s="207">
        <f>INDEX($A$35:$H$42,MATCH($L42,$B$35:$B$42,0),MATCH($AA$34,$A$35:$H$35,0))*고양시_Modal_split!P$3 * 0.01</f>
        <v>251.43950150939676</v>
      </c>
      <c r="AO42" s="303">
        <f>INDEX($A$35:$H$42,MATCH($L42,$B$35:$B$42,0),MATCH($AO$34,$A$35:$H$35,0))*고양시_Modal_split!C$3 * 0.01</f>
        <v>3.1206405125727987E-2</v>
      </c>
      <c r="AP42" s="303">
        <f>INDEX($A$35:$H$42,MATCH($L42,$B$35:$B$42,0),MATCH($AO$34,$A$35:$H$35,0))*고양시_Modal_split!D$3 * 0.01</f>
        <v>5.2415615466535268</v>
      </c>
      <c r="AQ42" s="303">
        <f>INDEX($A$35:$H$42,MATCH($L42,$B$35:$B$42,0),MATCH($AO$34,$A$35:$H$35,0))*고양시_Modal_split!E$3 * 0.01</f>
        <v>0.63415873273354384</v>
      </c>
      <c r="AR42" s="303">
        <f>INDEX($A$35:$H$42,MATCH($L42,$B$35:$B$42,0),MATCH($AO$34,$A$35:$H$35,0))*고양시_Modal_split!F$3 * 0.01</f>
        <v>1.0220097678675917</v>
      </c>
      <c r="AS42" s="303">
        <f>INDEX($A$35:$H$42,MATCH($L42,$B$35:$B$42,0),MATCH($AO$34,$A$35:$H$35,0))*고양시_Modal_split!G$3 * 0.01</f>
        <v>0.10253533112739197</v>
      </c>
      <c r="AT42" s="303">
        <f>INDEX($A$35:$H$42,MATCH($L42,$B$35:$B$42,0),MATCH($AO$34,$A$35:$H$35,0))*고양시_Modal_split!H$3 * 0.01</f>
        <v>1.1145144687759998E-3</v>
      </c>
      <c r="AU42" s="303">
        <f>INDEX($A$35:$H$42,MATCH($L42,$B$35:$B$42,0),MATCH($AO$34,$A$35:$H$35,0))*고양시_Modal_split!I$3 * 0.01</f>
        <v>0.30983502231972787</v>
      </c>
      <c r="AV42" s="303">
        <f>INDEX($A$35:$H$42,MATCH($L42,$B$35:$B$42,0),MATCH($AO$34,$A$35:$H$35,0))*고양시_Modal_split!J$3 * 0.01</f>
        <v>3.3925820429541433</v>
      </c>
      <c r="AW42" s="303">
        <f>INDEX($A$35:$H$42,MATCH($L42,$B$35:$B$42,0),MATCH($AO$34,$A$35:$H$35,0))*고양시_Modal_split!K$3 * 0.01</f>
        <v>1.6717717031639993E-2</v>
      </c>
      <c r="AX42" s="303">
        <f>INDEX($A$35:$H$42,MATCH($L42,$B$35:$B$42,0),MATCH($AO$34,$A$35:$H$35,0))*고양시_Modal_split!L$3 * 0.01</f>
        <v>0.3365833695703519</v>
      </c>
      <c r="AY42" s="303">
        <f>INDEX($A$35:$H$42,MATCH($L42,$B$35:$B$42,0),MATCH($AO$34,$A$35:$H$35,0))*고양시_Modal_split!M$3 * 0.01</f>
        <v>2.5633832781847991E-2</v>
      </c>
      <c r="AZ42" s="303">
        <f>INDEX($A$35:$H$42,MATCH($L42,$B$35:$B$42,0),MATCH($AO$34,$A$35:$H$35,0))*고양시_Modal_split!N$3 * 0.01</f>
        <v>1.1145144687759997E-2</v>
      </c>
      <c r="BA42" s="207">
        <f>INDEX($A$35:$H$42,MATCH($L42,$B$35:$B$42,0),MATCH($AO$34,$A$35:$H$35,0))*고양시_Modal_split!O$3 * 0.01</f>
        <v>2.0061260437967993E-2</v>
      </c>
      <c r="BB42" s="207">
        <f>INDEX($A$35:$H$42,MATCH($L42,$B$35:$B$42,0),MATCH($AO$34,$A$35:$H$35,0))*고양시_Modal_split!P$3 * 0.01</f>
        <v>11.145144687759997</v>
      </c>
      <c r="BC42" s="207">
        <f>INDEX($A$35:$H$42,MATCH($L42,$B$35:$B$42,0),MATCH($BC$34,$A$35:$H$35,0))*고양시_Modal_split!C$3 * 0.01</f>
        <v>8.4627539324007682E-5</v>
      </c>
      <c r="BD42" s="207">
        <f>INDEX($A$35:$H$42,MATCH($L42,$B$35:$B$42,0),MATCH($BC$34,$A$35:$H$35,0))*고양시_Modal_split!D$3 * 0.01</f>
        <v>1.4214404194314578E-2</v>
      </c>
      <c r="BE42" s="207">
        <f>INDEX($A$35:$H$42,MATCH($L42,$B$35:$B$42,0),MATCH($BC$34,$A$35:$H$35,0))*고양시_Modal_split!E$3 * 0.01</f>
        <v>1.7197524955485845E-3</v>
      </c>
      <c r="BF42" s="207">
        <f>INDEX($A$35:$H$42,MATCH($L42,$B$35:$B$42,0),MATCH($BC$34,$A$35:$H$35,0))*고양시_Modal_split!F$3 * 0.01</f>
        <v>2.771551912861252E-3</v>
      </c>
      <c r="BG42" s="207">
        <f>INDEX($A$35:$H$42,MATCH($L42,$B$35:$B$42,0),MATCH($BC$34,$A$35:$H$35,0))*고양시_Modal_split!G$3 * 0.01</f>
        <v>2.7806191492173957E-4</v>
      </c>
      <c r="BH42" s="207">
        <f>INDEX($A$35:$H$42,MATCH($L42,$B$35:$B$42,0),MATCH($BC$34,$A$35:$H$35,0))*고양시_Modal_split!H$3 * 0.01</f>
        <v>3.0224121187145606E-6</v>
      </c>
      <c r="BI42" s="207">
        <f>INDEX($A$35:$H$42,MATCH($L42,$B$35:$B$42,0),MATCH($BC$34,$A$35:$H$35,0))*고양시_Modal_split!I$3 * 0.01</f>
        <v>8.4023056900264781E-4</v>
      </c>
      <c r="BJ42" s="207">
        <f>INDEX($A$35:$H$42,MATCH($L42,$B$35:$B$42,0),MATCH($BC$34,$A$35:$H$35,0))*고양시_Modal_split!J$3 * 0.01</f>
        <v>9.2002224893671224E-3</v>
      </c>
      <c r="BK42" s="207">
        <f>INDEX($A$35:$H$42,MATCH($L42,$B$35:$B$42,0),MATCH($BC$34,$A$35:$H$35,0))*고양시_Modal_split!K$3 * 0.01</f>
        <v>4.5336181780718409E-5</v>
      </c>
      <c r="BL42" s="207">
        <f>INDEX($A$35:$H$42,MATCH($L42,$B$35:$B$42,0),MATCH($BC$34,$A$35:$H$35,0))*고양시_Modal_split!L$3 * 0.01</f>
        <v>9.1276845985179727E-4</v>
      </c>
      <c r="BM42" s="207">
        <f>INDEX($A$35:$H$42,MATCH($L42,$B$35:$B$42,0),MATCH($BC$34,$A$35:$H$35,0))*고양시_Modal_split!M$3 * 0.01</f>
        <v>6.9515478730434893E-5</v>
      </c>
      <c r="BN42" s="207">
        <f>INDEX($A$35:$H$42,MATCH($L42,$B$35:$B$42,0),MATCH($BC$34,$A$35:$H$35,0))*고양시_Modal_split!N$3 * 0.01</f>
        <v>3.0224121187145609E-5</v>
      </c>
      <c r="BO42" s="207">
        <f>INDEX($A$35:$H$42,MATCH($L42,$B$35:$B$42,0),MATCH($BC$34,$A$35:$H$35,0))*고양시_Modal_split!O$3 * 0.01</f>
        <v>5.4403418136862084E-5</v>
      </c>
      <c r="BP42" s="207">
        <f>INDEX($A$35:$H$42,MATCH($L42,$B$35:$B$42,0),MATCH($BC$34,$A$35:$H$35,0))*고양시_Modal_split!P$3 * 0.01</f>
        <v>3.0224121187145604E-2</v>
      </c>
      <c r="BQ42" s="207">
        <f>INDEX($A$35:$H$42,MATCH($L42,$B$35:$B$42,0),MATCH($BQ$34,$A$35:$H$35,0))*고양시_Modal_split!C$3 * 0.01</f>
        <v>2.3977802808469032E-4</v>
      </c>
      <c r="BR42" s="207">
        <f>INDEX($A$35:$H$42,MATCH($L42,$B$35:$B$42,0),MATCH($BQ$34,$A$35:$H$35,0))*고양시_Modal_split!D$3 * 0.01</f>
        <v>4.0274145217224958E-2</v>
      </c>
      <c r="BS42" s="207">
        <f>INDEX($A$35:$H$42,MATCH($L42,$B$35:$B$42,0),MATCH($BQ$34,$A$35:$H$35,0))*고양시_Modal_split!E$3 * 0.01</f>
        <v>4.8726320707210289E-3</v>
      </c>
      <c r="BT42" s="207">
        <f>INDEX($A$35:$H$42,MATCH($L42,$B$35:$B$42,0),MATCH($BQ$34,$A$35:$H$35,0))*고양시_Modal_split!F$3 * 0.01</f>
        <v>7.8527304197736087E-3</v>
      </c>
      <c r="BU42" s="207">
        <f>INDEX($A$35:$H$42,MATCH($L42,$B$35:$B$42,0),MATCH($BQ$34,$A$35:$H$35,0))*고양시_Modal_split!G$3 * 0.01</f>
        <v>7.8784209227826822E-4</v>
      </c>
      <c r="BV42" s="207">
        <f>INDEX($A$35:$H$42,MATCH($L42,$B$35:$B$42,0),MATCH($BQ$34,$A$35:$H$35,0))*고양시_Modal_split!H$3 * 0.01</f>
        <v>8.563501003024656E-6</v>
      </c>
      <c r="BW42" s="207">
        <f>INDEX($A$35:$H$42,MATCH($L42,$B$35:$B$42,0),MATCH($BQ$34,$A$35:$H$35,0))*고양시_Modal_split!I$3 * 0.01</f>
        <v>2.380653278840854E-3</v>
      </c>
      <c r="BX42" s="207">
        <f>INDEX($A$35:$H$42,MATCH($L42,$B$35:$B$42,0),MATCH($BQ$34,$A$35:$H$35,0))*고양시_Modal_split!J$3 * 0.01</f>
        <v>2.606729705320705E-2</v>
      </c>
      <c r="BY42" s="207">
        <f>INDEX($A$35:$H$42,MATCH($L42,$B$35:$B$42,0),MATCH($BQ$34,$A$35:$H$35,0))*고양시_Modal_split!K$3 * 0.01</f>
        <v>1.2845251504536983E-4</v>
      </c>
      <c r="BZ42" s="207">
        <f>INDEX($A$35:$H$42,MATCH($L42,$B$35:$B$42,0),MATCH($BQ$34,$A$35:$H$35,0))*고양시_Modal_split!L$3 * 0.01</f>
        <v>2.5861773029134459E-3</v>
      </c>
      <c r="CA42" s="207">
        <f>INDEX($A$35:$H$42,MATCH($L42,$B$35:$B$42,0),MATCH($BQ$34,$A$35:$H$35,0))*고양시_Modal_split!M$3 * 0.01</f>
        <v>1.9696052306956706E-4</v>
      </c>
      <c r="CB42" s="207">
        <f>INDEX($A$35:$H$42,MATCH($L42,$B$35:$B$42,0),MATCH($BQ$34,$A$35:$H$35,0))*고양시_Modal_split!N$3 * 0.01</f>
        <v>8.563501003024656E-5</v>
      </c>
      <c r="CC42" s="207">
        <f>INDEX($A$35:$H$42,MATCH($L42,$B$35:$B$42,0),MATCH($BQ$34,$A$35:$H$35,0))*고양시_Modal_split!O$3 * 0.01</f>
        <v>1.541430180544438E-4</v>
      </c>
      <c r="CD42" s="207">
        <f>INDEX($A$35:$H$42,MATCH($L42,$B$35:$B$42,0),MATCH($BQ$34,$A$35:$H$35,0))*고양시_Modal_split!P$3 * 0.01</f>
        <v>8.5635010030246553E-2</v>
      </c>
      <c r="CE42" s="304">
        <f t="shared" si="10"/>
        <v>0.82609877740624926</v>
      </c>
      <c r="CF42" s="304">
        <f t="shared" si="5"/>
        <v>138.75509107648534</v>
      </c>
      <c r="CG42" s="304">
        <f t="shared" si="5"/>
        <v>16.787507298005565</v>
      </c>
      <c r="CH42" s="304">
        <f t="shared" si="5"/>
        <v>27.054734960054656</v>
      </c>
      <c r="CI42" s="304">
        <f t="shared" si="5"/>
        <v>2.7143245543348185</v>
      </c>
      <c r="CJ42" s="304">
        <f t="shared" si="5"/>
        <v>2.9503527764508902E-2</v>
      </c>
      <c r="CK42" s="304">
        <f t="shared" si="5"/>
        <v>8.2019807185334734</v>
      </c>
      <c r="CL42" s="304">
        <f t="shared" si="5"/>
        <v>89.808738515165089</v>
      </c>
      <c r="CM42" s="304">
        <f t="shared" si="5"/>
        <v>0.44255291646763345</v>
      </c>
      <c r="CN42" s="304">
        <f t="shared" si="5"/>
        <v>8.9100653848816869</v>
      </c>
      <c r="CO42" s="304">
        <f t="shared" si="5"/>
        <v>0.67858113858370461</v>
      </c>
      <c r="CP42" s="304">
        <f t="shared" si="5"/>
        <v>0.29503527764508897</v>
      </c>
      <c r="CQ42" s="304">
        <f t="shared" si="5"/>
        <v>0.53106349976116018</v>
      </c>
      <c r="CR42" s="304">
        <f t="shared" si="5"/>
        <v>295.03527764508902</v>
      </c>
      <c r="CS42" s="305">
        <f t="shared" si="11"/>
        <v>0</v>
      </c>
      <c r="CV42" s="267"/>
      <c r="CW42" s="267" t="s">
        <v>722</v>
      </c>
      <c r="CX42" s="267">
        <f>INDEX($M$34:$Z$42,MATCH($CW42,$L$34:$L$42,0),MATCH(CX$35,$M$35:$Z$35,0))/INDEX(고양시_재차인원!$D$4:$H$35,MATCH("고양시",고양시_재차인원!$B$4:$B$35,0),MATCH($CX$34,고양시_재차인원!$D$4:$H$4,0))</f>
        <v>13.577717339777662</v>
      </c>
      <c r="CY42" s="267">
        <f>INDEX($M$34:$Z$42,MATCH($CW42,$L$34:$L$42,0),MATCH(CY$35,$M$35:$Z$35,0))/INDEX(고양시_재차인원!$K$4:$O$20,MATCH("경기도",고양시_재차인원!$K$4:$K$20,0),MATCH(CY$35,고양시_재차인원!$K$4:$O$4,0))</f>
        <v>1.1231251238872812E-4</v>
      </c>
      <c r="CZ42" s="267">
        <f>INDEX($M$34:$Z$42,MATCH($CW42,$L$34:$L$42,0),MATCH(CZ$35,$M$35:$Z$35,0))/INDEX(고양시_재차인원!$K$4:$O$20,MATCH("경기도",고양시_재차인원!$K$4:$K$20,0),MATCH(CZ$35,고양시_재차인원!$K$4:$O$4,0))</f>
        <v>3.1222878444066415E-2</v>
      </c>
      <c r="DA42" s="267">
        <f>INDEX($M$34:$Z$42,MATCH($CW42,$L$34:$L$42,0),MATCH(DA$35,$M$35:$Z$35,0))/INDEX(고양시_재차인원!$D$4:$H$35,MATCH("고양시",고양시_재차인원!$B$4:$B$35,0),MATCH($CX$34,고양시_재차인원!$D$4:$H$4,0))</f>
        <v>0.87188403925427471</v>
      </c>
      <c r="DB42" s="267">
        <f>INDEX($AA$34:$AN$42,MATCH($CW42,$L$34:$L$42,0),MATCH(DB$35,$AA$35:$AN$35,0))/INDEX(고양시_재차인원!$D$4:$H$35,MATCH("고양시",고양시_재차인원!$B$4:$B$35,0),MATCH($DB$34,고양시_재차인원!$D$4:$H$4,0))</f>
        <v>83.866664936077527</v>
      </c>
      <c r="DC42" s="267">
        <f>INDEX($AA$34:$AN$42,MATCH($CW42,$L$34:$L$42,0),MATCH(DC$35,$AA$35:$AN$35,0))/INDEX(고양시_재차인원!$K$4:$O$20,MATCH("경기도",고양시_재차인원!$K$4:$K$20,0),MATCH(DC$35,고양시_재차인원!$K$4:$O$4,0))</f>
        <v>8.7335707366931854E-4</v>
      </c>
      <c r="DD42" s="267">
        <f>INDEX($AA$34:$AN$42,MATCH($CW42,$L$34:$L$42,0),MATCH(DD$35,$AA$35:$AN$35,0))/INDEX(고양시_재차인원!$K$4:$O$20,MATCH("경기도",고양시_재차인원!$K$4:$K$20,0),MATCH(DD$35,고양시_재차인원!$K$4:$O$4,0))</f>
        <v>0.24279326648007049</v>
      </c>
      <c r="DE42" s="267">
        <f>INDEX($AA$34:$AN$42,MATCH($CW42,$L$34:$L$42,0),MATCH(DE$35,$AA$35:$AN$35,0))/INDEX(고양시_재차인원!$D$4:$H$35,MATCH("고양시",고양시_재차인원!$B$4:$B$35,0),MATCH($DB$34,고양시_재차인원!$D$4:$H$4,0))</f>
        <v>5.3854418053785702</v>
      </c>
      <c r="DF42" s="267">
        <f>INDEX($AO$34:$BB$42,MATCH($CW42,$L$34:$L$42,0),MATCH(DF$35,$AO$35:$BB$35,0))/INDEX(고양시_재차인원!$D$4:$H$35,MATCH("고양시",고양시_재차인원!$B$4:$B$35,0),MATCH($DF$34,고양시_재차인원!$D$4:$H$4,0))</f>
        <v>4.0319704205027129</v>
      </c>
      <c r="DG42" s="267">
        <f>INDEX($AO$34:$BB$42,MATCH($CW42,$L$34:$L$42,0),MATCH(DG$35,$AO$35:$BB$35,0))/INDEX(고양시_재차인원!$K$4:$O$20,MATCH("경기도",고양시_재차인원!$K$4:$K$20,0),MATCH(DG$35,고양시_재차인원!$K$4:$O$4,0))</f>
        <v>3.871186067301146E-5</v>
      </c>
      <c r="DH42" s="267">
        <f>INDEX($AO$34:$BB$42,MATCH($CW42,$L$34:$L$42,0),MATCH(DH$35,$AO$35:$BB$35,0))/INDEX(고양시_재차인원!$K$4:$O$20,MATCH("경기도",고양시_재차인원!$K$4:$K$20,0),MATCH(DH$35,고양시_재차인원!$K$4:$O$4,0))</f>
        <v>1.0761897267097182E-2</v>
      </c>
      <c r="DI42" s="267">
        <f>INDEX($AO$34:$BB$42,MATCH($CW42,$L$34:$L$42,0),MATCH(DI$35,$AO$35:$BB$35,0))/INDEX(고양시_재차인원!$D$4:$H$35,MATCH("고양시",고양시_재차인원!$B$4:$B$35,0),MATCH($DF$34,고양시_재차인원!$D$4:$H$4,0))</f>
        <v>0.25891028428488605</v>
      </c>
      <c r="DJ42" s="267">
        <f>INDEX($BC$34:$BP$42,MATCH($CW42,$L$34:$L$42,0),MATCH(DJ$35,$BC$35:$BP$35,0))/INDEX(고양시_재차인원!$D$4:$H$35,MATCH("고양시",고양시_재차인원!$B$4:$B$35,0),MATCH($DJ$34,고양시_재차인원!$D$4:$H$4,0))</f>
        <v>1.0451767789937189E-2</v>
      </c>
      <c r="DK42" s="267">
        <f>INDEX($BC$34:$BP$42,MATCH($CW42,$L$34:$L$42,0),MATCH(DK$35,$BC$35:$BP$35,0))/INDEX(고양시_재차인원!$K$4:$O$20,MATCH("경기도",고양시_재차인원!$K$4:$K$20,0),MATCH(DK$35,고양시_재차인원!$K$4:$O$4,0))</f>
        <v>1.0498131707935258E-7</v>
      </c>
      <c r="DL42" s="267">
        <f>INDEX($BC$34:$BP$42,MATCH($CW42,$L$34:$L$42,0),MATCH(DL$35,$BC$35:$BP$35,0))/INDEX(고양시_재차인원!$K$4:$O$20,MATCH("경기도",고양시_재차인원!$K$4:$K$20,0),MATCH(DL$35,고양시_재차인원!$K$4:$O$4,0))</f>
        <v>2.9184806148060016E-5</v>
      </c>
      <c r="DM42" s="267">
        <f>INDEX($BC$34:$BP$42,MATCH($CW42,$L$34:$L$42,0),MATCH(DM$35,$BC$35:$BP$35,0))/INDEX(고양시_재차인원!$D$4:$H$35,MATCH("고양시",고양시_재차인원!$B$4:$B$35,0),MATCH($DJ$34,고양시_재차인원!$D$4:$H$4,0))</f>
        <v>6.7115327930279201E-4</v>
      </c>
      <c r="DN42" s="267">
        <f>INDEX($BQ$34:$CD$42,MATCH($CW42,$L$34:$L$42,0),MATCH(DN$35,$BQ$35:$CD$35,0))/INDEX(고양시_재차인원!$D$4:$H$35,MATCH("고양시",고양시_재차인원!$B$4:$B$35,0),MATCH($DN$34,고양시_재차인원!$D$4:$H$4,0))</f>
        <v>3.1963607315257901E-2</v>
      </c>
      <c r="DO42" s="267">
        <f>INDEX($BQ$34:$CD$42,MATCH($CW42,$L$34:$L$42,0),MATCH(DO$35,$BQ$35:$CD$35,0))/INDEX(고양시_재차인원!$K$4:$O$20,MATCH("경기도",고양시_재차인원!$K$4:$K$20,0),MATCH(DO$35,고양시_재차인원!$K$4:$O$4,0))</f>
        <v>2.9744706505816798E-7</v>
      </c>
      <c r="DP42" s="267">
        <f>INDEX($BQ$34:$CD$42,MATCH($CW42,$L$34:$L$42,0),MATCH(DP$35,$BQ$35:$CD$35,0))/INDEX(고양시_재차인원!$K$4:$O$20,MATCH("경기도",고양시_재차인원!$K$4:$K$20,0),MATCH(DP$35,고양시_재차인원!$K$4:$O$4,0))</f>
        <v>8.2690284086170681E-5</v>
      </c>
      <c r="DQ42" s="267">
        <f>INDEX($BQ$34:$CD$42,MATCH($CW42,$L$34:$L$42,0),MATCH(DQ$35,$BQ$35:$CD$35,0))/INDEX(고양시_재차인원!$D$4:$H$35,MATCH("고양시",고양시_재차인원!$B$4:$B$35,0),MATCH($DN$34,고양시_재차인원!$D$4:$H$4,0))</f>
        <v>2.0525216689789255E-3</v>
      </c>
      <c r="DR42" s="270">
        <f t="shared" si="12"/>
        <v>101.5187680714631</v>
      </c>
      <c r="DS42" s="270">
        <f t="shared" si="6"/>
        <v>1.0247838751131957E-3</v>
      </c>
      <c r="DT42" s="270">
        <f t="shared" si="6"/>
        <v>0.28488991728146834</v>
      </c>
      <c r="DU42" s="270">
        <f t="shared" si="6"/>
        <v>6.5189598038660126</v>
      </c>
      <c r="DW42" s="278"/>
      <c r="DX42" s="278" t="s">
        <v>722</v>
      </c>
      <c r="DY42" s="281">
        <f t="shared" si="13"/>
        <v>108.03772787532911</v>
      </c>
      <c r="DZ42" s="281">
        <f t="shared" si="14"/>
        <v>0.28591470115658152</v>
      </c>
      <c r="EB42" s="278"/>
      <c r="EC42" s="278" t="s">
        <v>301</v>
      </c>
      <c r="ED42" s="281">
        <f t="shared" si="15"/>
        <v>108.03772787532911</v>
      </c>
      <c r="EE42" s="281">
        <f t="shared" si="7"/>
        <v>0.28591470115658152</v>
      </c>
    </row>
    <row r="43" spans="1:157">
      <c r="I43" s="56"/>
      <c r="J43" s="56"/>
      <c r="Z43">
        <f>Z42/H42</f>
        <v>0.10959629158521092</v>
      </c>
      <c r="DW43" s="278"/>
      <c r="DX43" s="278" t="s">
        <v>26</v>
      </c>
      <c r="DY43" s="281">
        <f>SUM(DY36:DY42)</f>
        <v>787.95516197073357</v>
      </c>
      <c r="DZ43" s="281">
        <f>SUM(DZ36:DZ42)</f>
        <v>2.0852712204353341</v>
      </c>
      <c r="EC43" s="278" t="s">
        <v>26</v>
      </c>
      <c r="ED43" s="281">
        <f>DY43</f>
        <v>787.95516197073357</v>
      </c>
      <c r="EE43" s="281">
        <f>DZ43</f>
        <v>2.0852712204353341</v>
      </c>
    </row>
    <row r="44" spans="1:157">
      <c r="A44" s="205"/>
      <c r="B44" s="205"/>
      <c r="C44" s="201"/>
      <c r="D44" s="201"/>
      <c r="E44" s="201"/>
      <c r="F44" s="201"/>
      <c r="G44" s="201"/>
      <c r="H44" s="201"/>
      <c r="I44" s="56"/>
      <c r="J44" s="56"/>
      <c r="ED44" s="230">
        <f>SUM(ED36:ED42)-ED43</f>
        <v>0</v>
      </c>
      <c r="EE44" s="230" t="b">
        <f>SUM(EE36:EE42)=EE43</f>
        <v>1</v>
      </c>
    </row>
    <row r="45" spans="1:157">
      <c r="A45" s="205"/>
      <c r="B45" s="205"/>
      <c r="C45" s="201"/>
      <c r="D45" s="201"/>
      <c r="E45" s="201"/>
      <c r="F45" s="201"/>
      <c r="G45" s="201"/>
      <c r="H45" s="201"/>
      <c r="I45" s="56"/>
      <c r="J45" s="56"/>
    </row>
    <row r="46" spans="1:157">
      <c r="A46" s="205"/>
      <c r="B46" s="205"/>
      <c r="C46" s="201"/>
      <c r="D46" s="201"/>
      <c r="E46" s="201"/>
      <c r="F46" s="201"/>
      <c r="G46" s="201"/>
      <c r="H46" s="201"/>
      <c r="I46" s="56"/>
      <c r="J46" s="56"/>
    </row>
    <row r="47" spans="1:157">
      <c r="A47" s="205"/>
      <c r="B47" s="205"/>
      <c r="C47" s="201"/>
      <c r="D47" s="201"/>
      <c r="E47" s="201"/>
      <c r="F47" s="201"/>
      <c r="G47" s="201"/>
      <c r="H47" s="201"/>
      <c r="I47" s="56"/>
      <c r="J47" s="56"/>
    </row>
    <row r="48" spans="1:157">
      <c r="A48" s="205"/>
      <c r="B48" s="205"/>
      <c r="C48" s="201"/>
      <c r="D48" s="201"/>
      <c r="E48" s="201"/>
      <c r="F48" s="201"/>
      <c r="G48" s="201"/>
      <c r="H48" s="352">
        <f>SUM(H36:H47)</f>
        <v>2151.790624958182</v>
      </c>
      <c r="I48" s="97" t="b">
        <f>H48=SUM(D8,D9,D10,D11,D12,D13,D14)  * (1+KTDB_발생량도착량_증가율!$C$8)</f>
        <v>0</v>
      </c>
      <c r="J48" s="230">
        <f>CR48</f>
        <v>0</v>
      </c>
    </row>
    <row r="72" spans="1:164">
      <c r="FA72" s="277"/>
    </row>
    <row r="73" spans="1:164">
      <c r="FA73" s="277"/>
    </row>
    <row r="74" spans="1:164">
      <c r="FA74" s="277"/>
    </row>
    <row r="75" spans="1:164" s="227" customFormat="1" ht="19.5">
      <c r="A75" s="329">
        <v>2025</v>
      </c>
      <c r="B75" s="282"/>
      <c r="C75" s="283"/>
      <c r="D75" s="284"/>
      <c r="E75" s="284"/>
      <c r="F75" s="284"/>
      <c r="G75" s="284"/>
      <c r="H75" s="284"/>
      <c r="I75" s="284"/>
      <c r="K75" s="282"/>
      <c r="L75" s="282"/>
      <c r="M75" s="283"/>
      <c r="N75" s="284"/>
      <c r="O75" s="284"/>
      <c r="P75" s="284"/>
      <c r="Q75" s="284"/>
      <c r="R75" s="284"/>
      <c r="S75" s="284"/>
    </row>
    <row r="76" spans="1:164" ht="23.5" thickBot="1">
      <c r="A76" s="32" t="s">
        <v>641</v>
      </c>
      <c r="C76" t="s">
        <v>463</v>
      </c>
      <c r="D76" t="s">
        <v>467</v>
      </c>
      <c r="E76" t="s">
        <v>470</v>
      </c>
      <c r="F76" t="s">
        <v>465</v>
      </c>
      <c r="G76" t="s">
        <v>466</v>
      </c>
      <c r="H76" t="s">
        <v>21</v>
      </c>
      <c r="K76" s="32" t="s">
        <v>471</v>
      </c>
      <c r="CV76" s="32" t="s">
        <v>492</v>
      </c>
      <c r="CY76" t="s">
        <v>478</v>
      </c>
      <c r="CZ76" t="s">
        <v>479</v>
      </c>
      <c r="EL76" s="353" t="s">
        <v>853</v>
      </c>
      <c r="EU76" s="353" t="s">
        <v>745</v>
      </c>
    </row>
    <row r="77" spans="1:164">
      <c r="A77" t="s">
        <v>462</v>
      </c>
      <c r="C77" t="s">
        <v>427</v>
      </c>
      <c r="D77" t="s">
        <v>428</v>
      </c>
      <c r="E77" t="s">
        <v>429</v>
      </c>
      <c r="F77" t="s">
        <v>430</v>
      </c>
      <c r="G77" t="s">
        <v>431</v>
      </c>
      <c r="H77" t="s">
        <v>457</v>
      </c>
      <c r="K77" s="159" t="s">
        <v>482</v>
      </c>
      <c r="L77" s="159"/>
      <c r="M77" s="443" t="s">
        <v>463</v>
      </c>
      <c r="N77" s="444"/>
      <c r="O77" s="444"/>
      <c r="P77" s="444"/>
      <c r="Q77" s="444"/>
      <c r="R77" s="444"/>
      <c r="S77" s="444"/>
      <c r="T77" s="444"/>
      <c r="U77" s="444"/>
      <c r="V77" s="444"/>
      <c r="W77" s="444"/>
      <c r="X77" s="444"/>
      <c r="Y77" s="444"/>
      <c r="Z77" s="445"/>
      <c r="AA77" s="443" t="s">
        <v>467</v>
      </c>
      <c r="AB77" s="444"/>
      <c r="AC77" s="444"/>
      <c r="AD77" s="444"/>
      <c r="AE77" s="444"/>
      <c r="AF77" s="444"/>
      <c r="AG77" s="444"/>
      <c r="AH77" s="444"/>
      <c r="AI77" s="444"/>
      <c r="AJ77" s="444"/>
      <c r="AK77" s="444"/>
      <c r="AL77" s="444"/>
      <c r="AM77" s="444"/>
      <c r="AN77" s="445"/>
      <c r="AO77" s="443" t="s">
        <v>464</v>
      </c>
      <c r="AP77" s="444"/>
      <c r="AQ77" s="444"/>
      <c r="AR77" s="444"/>
      <c r="AS77" s="444"/>
      <c r="AT77" s="444"/>
      <c r="AU77" s="444"/>
      <c r="AV77" s="444"/>
      <c r="AW77" s="444"/>
      <c r="AX77" s="444"/>
      <c r="AY77" s="444"/>
      <c r="AZ77" s="444"/>
      <c r="BA77" s="444"/>
      <c r="BB77" s="445"/>
      <c r="BC77" s="443" t="s">
        <v>465</v>
      </c>
      <c r="BD77" s="444"/>
      <c r="BE77" s="444"/>
      <c r="BF77" s="444"/>
      <c r="BG77" s="444"/>
      <c r="BH77" s="444"/>
      <c r="BI77" s="444"/>
      <c r="BJ77" s="444"/>
      <c r="BK77" s="444"/>
      <c r="BL77" s="444"/>
      <c r="BM77" s="444"/>
      <c r="BN77" s="444"/>
      <c r="BO77" s="444"/>
      <c r="BP77" s="445"/>
      <c r="BQ77" s="443" t="s">
        <v>466</v>
      </c>
      <c r="BR77" s="444"/>
      <c r="BS77" s="444"/>
      <c r="BT77" s="444"/>
      <c r="BU77" s="444"/>
      <c r="BV77" s="444"/>
      <c r="BW77" s="444"/>
      <c r="BX77" s="444"/>
      <c r="BY77" s="444"/>
      <c r="BZ77" s="444"/>
      <c r="CA77" s="444"/>
      <c r="CB77" s="444"/>
      <c r="CC77" s="444"/>
      <c r="CD77" s="445"/>
      <c r="CE77" s="443" t="s">
        <v>21</v>
      </c>
      <c r="CF77" s="444"/>
      <c r="CG77" s="444"/>
      <c r="CH77" s="444"/>
      <c r="CI77" s="444"/>
      <c r="CJ77" s="444"/>
      <c r="CK77" s="444"/>
      <c r="CL77" s="444"/>
      <c r="CM77" s="444"/>
      <c r="CN77" s="444"/>
      <c r="CO77" s="444"/>
      <c r="CP77" s="444"/>
      <c r="CQ77" s="444"/>
      <c r="CR77" s="445"/>
      <c r="CV77" s="263" t="s">
        <v>482</v>
      </c>
      <c r="CW77" s="263"/>
      <c r="CX77" s="446" t="s">
        <v>554</v>
      </c>
      <c r="CY77" s="439"/>
      <c r="CZ77" s="439"/>
      <c r="DA77" s="440"/>
      <c r="DB77" s="438" t="s">
        <v>553</v>
      </c>
      <c r="DC77" s="439"/>
      <c r="DD77" s="439"/>
      <c r="DE77" s="440"/>
      <c r="DF77" s="438" t="s">
        <v>464</v>
      </c>
      <c r="DG77" s="439"/>
      <c r="DH77" s="439"/>
      <c r="DI77" s="440"/>
      <c r="DJ77" s="438" t="s">
        <v>465</v>
      </c>
      <c r="DK77" s="439"/>
      <c r="DL77" s="439"/>
      <c r="DM77" s="440"/>
      <c r="DN77" s="438" t="s">
        <v>466</v>
      </c>
      <c r="DO77" s="439"/>
      <c r="DP77" s="439"/>
      <c r="DQ77" s="440"/>
      <c r="DR77" s="438" t="s">
        <v>21</v>
      </c>
      <c r="DS77" s="439"/>
      <c r="DT77" s="439"/>
      <c r="DU77" s="441"/>
      <c r="DW77" s="278"/>
      <c r="DX77" s="278"/>
      <c r="DY77" s="442" t="s">
        <v>588</v>
      </c>
      <c r="DZ77" s="442"/>
      <c r="EB77" s="278"/>
      <c r="EC77" s="278"/>
      <c r="ED77" s="442" t="s">
        <v>588</v>
      </c>
      <c r="EE77" s="442"/>
      <c r="EI77" t="s">
        <v>599</v>
      </c>
    </row>
    <row r="78" spans="1:164">
      <c r="A78" s="199"/>
      <c r="B78" s="199"/>
      <c r="C78" s="202" t="s">
        <v>463</v>
      </c>
      <c r="D78" s="202" t="s">
        <v>467</v>
      </c>
      <c r="E78" s="202" t="s">
        <v>464</v>
      </c>
      <c r="F78" s="202" t="s">
        <v>465</v>
      </c>
      <c r="G78" s="202" t="s">
        <v>558</v>
      </c>
      <c r="H78" s="202" t="s">
        <v>21</v>
      </c>
      <c r="K78" s="159"/>
      <c r="L78" s="159"/>
      <c r="M78" s="211" t="s">
        <v>472</v>
      </c>
      <c r="N78" s="160" t="s">
        <v>156</v>
      </c>
      <c r="O78" s="160" t="s">
        <v>475</v>
      </c>
      <c r="P78" s="160" t="s">
        <v>476</v>
      </c>
      <c r="Q78" s="160" t="s">
        <v>477</v>
      </c>
      <c r="R78" s="160" t="s">
        <v>478</v>
      </c>
      <c r="S78" s="160" t="s">
        <v>479</v>
      </c>
      <c r="T78" s="160" t="s">
        <v>480</v>
      </c>
      <c r="U78" s="160" t="s">
        <v>449</v>
      </c>
      <c r="V78" s="160" t="s">
        <v>157</v>
      </c>
      <c r="W78" s="160" t="s">
        <v>473</v>
      </c>
      <c r="X78" s="160" t="s">
        <v>474</v>
      </c>
      <c r="Y78" s="160" t="s">
        <v>46</v>
      </c>
      <c r="Z78" s="212" t="s">
        <v>11</v>
      </c>
      <c r="AA78" s="211" t="s">
        <v>472</v>
      </c>
      <c r="AB78" s="160" t="s">
        <v>156</v>
      </c>
      <c r="AC78" s="160" t="s">
        <v>475</v>
      </c>
      <c r="AD78" s="160" t="s">
        <v>476</v>
      </c>
      <c r="AE78" s="160" t="s">
        <v>477</v>
      </c>
      <c r="AF78" s="160" t="s">
        <v>478</v>
      </c>
      <c r="AG78" s="160" t="s">
        <v>479</v>
      </c>
      <c r="AH78" s="160" t="s">
        <v>480</v>
      </c>
      <c r="AI78" s="160" t="s">
        <v>449</v>
      </c>
      <c r="AJ78" s="160" t="s">
        <v>157</v>
      </c>
      <c r="AK78" s="160" t="s">
        <v>473</v>
      </c>
      <c r="AL78" s="160" t="s">
        <v>474</v>
      </c>
      <c r="AM78" s="160" t="s">
        <v>46</v>
      </c>
      <c r="AN78" s="212" t="s">
        <v>11</v>
      </c>
      <c r="AO78" s="211" t="s">
        <v>472</v>
      </c>
      <c r="AP78" s="160" t="s">
        <v>156</v>
      </c>
      <c r="AQ78" s="160" t="s">
        <v>475</v>
      </c>
      <c r="AR78" s="160" t="s">
        <v>476</v>
      </c>
      <c r="AS78" s="160" t="s">
        <v>477</v>
      </c>
      <c r="AT78" s="160" t="s">
        <v>478</v>
      </c>
      <c r="AU78" s="160" t="s">
        <v>479</v>
      </c>
      <c r="AV78" s="160" t="s">
        <v>480</v>
      </c>
      <c r="AW78" s="160" t="s">
        <v>449</v>
      </c>
      <c r="AX78" s="160" t="s">
        <v>157</v>
      </c>
      <c r="AY78" s="160" t="s">
        <v>473</v>
      </c>
      <c r="AZ78" s="160" t="s">
        <v>474</v>
      </c>
      <c r="BA78" s="160" t="s">
        <v>46</v>
      </c>
      <c r="BB78" s="212" t="s">
        <v>11</v>
      </c>
      <c r="BC78" s="211" t="s">
        <v>472</v>
      </c>
      <c r="BD78" s="160" t="s">
        <v>156</v>
      </c>
      <c r="BE78" s="160" t="s">
        <v>475</v>
      </c>
      <c r="BF78" s="160" t="s">
        <v>476</v>
      </c>
      <c r="BG78" s="160" t="s">
        <v>477</v>
      </c>
      <c r="BH78" s="160" t="s">
        <v>478</v>
      </c>
      <c r="BI78" s="160" t="s">
        <v>479</v>
      </c>
      <c r="BJ78" s="160" t="s">
        <v>480</v>
      </c>
      <c r="BK78" s="160" t="s">
        <v>449</v>
      </c>
      <c r="BL78" s="160" t="s">
        <v>157</v>
      </c>
      <c r="BM78" s="160" t="s">
        <v>473</v>
      </c>
      <c r="BN78" s="160" t="s">
        <v>474</v>
      </c>
      <c r="BO78" s="160" t="s">
        <v>46</v>
      </c>
      <c r="BP78" s="212" t="s">
        <v>11</v>
      </c>
      <c r="BQ78" s="211" t="s">
        <v>472</v>
      </c>
      <c r="BR78" s="160" t="s">
        <v>156</v>
      </c>
      <c r="BS78" s="160" t="s">
        <v>475</v>
      </c>
      <c r="BT78" s="160" t="s">
        <v>476</v>
      </c>
      <c r="BU78" s="160" t="s">
        <v>477</v>
      </c>
      <c r="BV78" s="160" t="s">
        <v>478</v>
      </c>
      <c r="BW78" s="160" t="s">
        <v>479</v>
      </c>
      <c r="BX78" s="160" t="s">
        <v>480</v>
      </c>
      <c r="BY78" s="160" t="s">
        <v>449</v>
      </c>
      <c r="BZ78" s="160" t="s">
        <v>157</v>
      </c>
      <c r="CA78" s="160" t="s">
        <v>473</v>
      </c>
      <c r="CB78" s="160" t="s">
        <v>474</v>
      </c>
      <c r="CC78" s="160" t="s">
        <v>46</v>
      </c>
      <c r="CD78" s="212" t="s">
        <v>11</v>
      </c>
      <c r="CE78" s="211" t="s">
        <v>472</v>
      </c>
      <c r="CF78" s="160" t="s">
        <v>156</v>
      </c>
      <c r="CG78" s="160" t="s">
        <v>475</v>
      </c>
      <c r="CH78" s="160" t="s">
        <v>476</v>
      </c>
      <c r="CI78" s="160" t="s">
        <v>477</v>
      </c>
      <c r="CJ78" s="160" t="s">
        <v>478</v>
      </c>
      <c r="CK78" s="160" t="s">
        <v>479</v>
      </c>
      <c r="CL78" s="160" t="s">
        <v>480</v>
      </c>
      <c r="CM78" s="160" t="s">
        <v>449</v>
      </c>
      <c r="CN78" s="160" t="s">
        <v>157</v>
      </c>
      <c r="CO78" s="160" t="s">
        <v>473</v>
      </c>
      <c r="CP78" s="160" t="s">
        <v>474</v>
      </c>
      <c r="CQ78" s="160" t="s">
        <v>46</v>
      </c>
      <c r="CR78" s="212" t="s">
        <v>11</v>
      </c>
      <c r="CV78" s="263"/>
      <c r="CW78" s="263"/>
      <c r="CX78" s="264" t="s">
        <v>156</v>
      </c>
      <c r="CY78" s="264" t="s">
        <v>478</v>
      </c>
      <c r="CZ78" s="264" t="s">
        <v>479</v>
      </c>
      <c r="DA78" s="264" t="s">
        <v>157</v>
      </c>
      <c r="DB78" s="264" t="s">
        <v>156</v>
      </c>
      <c r="DC78" s="264" t="s">
        <v>478</v>
      </c>
      <c r="DD78" s="264" t="s">
        <v>479</v>
      </c>
      <c r="DE78" s="264" t="s">
        <v>157</v>
      </c>
      <c r="DF78" s="264" t="s">
        <v>156</v>
      </c>
      <c r="DG78" s="264" t="s">
        <v>478</v>
      </c>
      <c r="DH78" s="264" t="s">
        <v>479</v>
      </c>
      <c r="DI78" s="264" t="s">
        <v>157</v>
      </c>
      <c r="DJ78" s="264" t="s">
        <v>156</v>
      </c>
      <c r="DK78" s="264" t="s">
        <v>478</v>
      </c>
      <c r="DL78" s="264" t="s">
        <v>479</v>
      </c>
      <c r="DM78" s="264" t="s">
        <v>157</v>
      </c>
      <c r="DN78" s="264" t="s">
        <v>156</v>
      </c>
      <c r="DO78" s="264" t="s">
        <v>478</v>
      </c>
      <c r="DP78" s="264" t="s">
        <v>479</v>
      </c>
      <c r="DQ78" s="264" t="s">
        <v>157</v>
      </c>
      <c r="DR78" s="264" t="s">
        <v>156</v>
      </c>
      <c r="DS78" s="264" t="s">
        <v>478</v>
      </c>
      <c r="DT78" s="264" t="s">
        <v>479</v>
      </c>
      <c r="DU78" s="264" t="s">
        <v>157</v>
      </c>
      <c r="DW78" s="278"/>
      <c r="DX78" s="278"/>
      <c r="DY78" s="280" t="s">
        <v>585</v>
      </c>
      <c r="DZ78" s="280" t="s">
        <v>259</v>
      </c>
      <c r="EB78" s="278"/>
      <c r="EC78" s="278"/>
      <c r="ED78" s="280" t="s">
        <v>585</v>
      </c>
      <c r="EE78" s="280" t="s">
        <v>259</v>
      </c>
      <c r="EL78" s="420" t="s">
        <v>564</v>
      </c>
      <c r="EM78" s="420" t="s">
        <v>565</v>
      </c>
      <c r="EN78" s="420" t="s">
        <v>566</v>
      </c>
      <c r="EO78" s="420" t="s">
        <v>562</v>
      </c>
      <c r="EP78" s="421" t="s">
        <v>597</v>
      </c>
      <c r="EQ78" s="421" t="s">
        <v>585</v>
      </c>
      <c r="ER78" s="421" t="s">
        <v>259</v>
      </c>
      <c r="ES78" s="424" t="s">
        <v>867</v>
      </c>
      <c r="EU78" s="306" t="s">
        <v>564</v>
      </c>
      <c r="EV78" s="306" t="s">
        <v>565</v>
      </c>
      <c r="EW78" s="306" t="s">
        <v>566</v>
      </c>
      <c r="EX78" s="306" t="s">
        <v>562</v>
      </c>
      <c r="EY78" s="307" t="s">
        <v>597</v>
      </c>
      <c r="EZ78" s="307" t="s">
        <v>585</v>
      </c>
      <c r="FA78" s="307" t="s">
        <v>259</v>
      </c>
    </row>
    <row r="79" spans="1:164" ht="37.5">
      <c r="A79" s="205"/>
      <c r="B79" s="205" t="s">
        <v>710</v>
      </c>
      <c r="C79" s="400">
        <f>$D8*KTDB_TripDistribution_2040!T$12 * (1+KTDB_발생량도착량_증가율!$C$7) * (1+KTDB_발생량도착량_증가율!$D$8*5) * (1+KTDB_발생량도착량_증가율!$E$8*5) * (1+KTDB_발생량도착량_증가율!$F$8*5)</f>
        <v>48.970854569728985</v>
      </c>
      <c r="D79" s="400">
        <f>$D8*KTDB_TripDistribution_2040!U$12 * (1+KTDB_발생량도착량_증가율!$C$7) * (1+KTDB_발생량도착량_증가율!$D$8*5) * (1+KTDB_발생량도착량_증가율!$E$8*5) * (1+KTDB_발생량도착량_증가율!$F$8*5)</f>
        <v>354.4120930619149</v>
      </c>
      <c r="E79" s="400">
        <f>$D8*KTDB_TripDistribution_2040!V$12 * (1+KTDB_발생량도착량_증가율!$C$7) * (1+KTDB_발생량도착량_증가율!$D$8*5) * (1+KTDB_발생량도착량_증가율!$E$8*5) * (1+KTDB_발생량도착량_증가율!$F$8*5)</f>
        <v>20.331744535366003</v>
      </c>
      <c r="F79" s="400">
        <f>$D8*KTDB_TripDistribution_2040!W$12 * (1+KTDB_발생량도착량_증가율!$C$7) * (1+KTDB_발생량도착량_증가율!$D$8*5) * (1+KTDB_발생량도착량_증가율!$E$8*5) * (1+KTDB_발생량도착량_증가율!$F$8*5)</f>
        <v>3.1951405765373607E-2</v>
      </c>
      <c r="G79" s="400">
        <f>$D8*KTDB_TripDistribution_2040!X$12 * (1+KTDB_발생량도착량_증가율!$C$7) * (1+KTDB_발생량도착량_증가율!$D$8*5) * (1+KTDB_발생량도착량_증가율!$E$8*5) * (1+KTDB_발생량도착량_증가율!$F$8*5)</f>
        <v>0.12070531066918878</v>
      </c>
      <c r="H79" s="400">
        <f>$D8*KTDB_TripDistribution_2040!Y$12 * (1+KTDB_발생량도착량_증가율!$C$7) * (1+KTDB_발생량도착량_증가율!$D$8*5) * (1+KTDB_발생량도착량_증가율!$E$8*5) * (1+KTDB_발생량도착량_증가율!$F$8*5)</f>
        <v>423.86734888344455</v>
      </c>
      <c r="J79" s="230">
        <f t="shared" ref="J79:J83" si="16">CR79</f>
        <v>423.86734888344449</v>
      </c>
      <c r="K79" s="206"/>
      <c r="L79" s="206" t="s">
        <v>710</v>
      </c>
      <c r="M79" s="206">
        <f>INDEX($A$78:$H$85,MATCH($L79,$B$78:$B$85,0),MATCH($M$77,$A$78:$H$78,0))*고양시_Modal_split!C$3 * 0.01</f>
        <v>0.13711839279524113</v>
      </c>
      <c r="N79" s="206">
        <f>INDEX($A$78:$H$85,MATCH($L79,$B$78:$B$85,0),MATCH($M$77,$A$78:$H$78,0))*고양시_Modal_split!D$3 * 0.01</f>
        <v>23.030992904143542</v>
      </c>
      <c r="O79" s="206">
        <f>INDEX($A$78:$H$85,MATCH($L79,$B$78:$B$85,0),MATCH($M$77,$A$78:$H$78,0))*고양시_Modal_split!E$3 * 0.01</f>
        <v>2.786441625017579</v>
      </c>
      <c r="P79" s="206">
        <f>INDEX($A$78:$H$85,MATCH($L79,$B$78:$B$85,0),MATCH($M$77,$A$78:$H$78,0))*고양시_Modal_split!F$3 * 0.01</f>
        <v>4.4906273640441485</v>
      </c>
      <c r="Q79" s="206">
        <f>INDEX($A$78:$H$85,MATCH($L79,$B$78:$B$85,0),MATCH($M$77,$A$78:$H$78,0))*고양시_Modal_split!G$3 * 0.01</f>
        <v>0.45053186204150664</v>
      </c>
      <c r="R79" s="206">
        <f>INDEX($A$78:$H$85,MATCH($L79,$B$78:$B$85,0),MATCH($M$77,$A$78:$H$78,0))*고양시_Modal_split!H$3 * 0.01</f>
        <v>4.8970854569728986E-3</v>
      </c>
      <c r="S79" s="206">
        <f>INDEX($A$78:$H$85,MATCH($L79,$B$78:$B$85,0),MATCH($M$77,$A$78:$H$78,0))*고양시_Modal_split!I$3 * 0.01</f>
        <v>1.3613897570384657</v>
      </c>
      <c r="T79" s="206">
        <f>INDEX($A$78:$H$85,MATCH($L79,$B$78:$B$85,0),MATCH($M$77,$A$78:$H$78,0))*고양시_Modal_split!J$3 * 0.01</f>
        <v>14.906728131025504</v>
      </c>
      <c r="U79" s="206">
        <f>INDEX($A$78:$H$85,MATCH($L79,$B$78:$B$85,0),MATCH($M$77,$A$78:$H$78,0))*고양시_Modal_split!K$3 * 0.01</f>
        <v>7.3456281854593478E-2</v>
      </c>
      <c r="V79" s="206">
        <f>INDEX($A$78:$H$85,MATCH($L79,$B$78:$B$85,0),MATCH($M$77,$A$78:$H$78,0))*고양시_Modal_split!L$3 * 0.01</f>
        <v>1.4789198080058155</v>
      </c>
      <c r="W79" s="206">
        <f>INDEX($A$78:$H$85,MATCH($L79,$B$78:$B$85,0),MATCH($M$77,$A$78:$H$78,0))*고양시_Modal_split!M$3 * 0.01</f>
        <v>0.11263296551037666</v>
      </c>
      <c r="X79" s="206">
        <f>INDEX($A$78:$H$85,MATCH($L79,$B$78:$B$85,0),MATCH($M$77,$A$78:$H$78,0))*고양시_Modal_split!N$3 * 0.01</f>
        <v>4.8970854569728994E-2</v>
      </c>
      <c r="Y79" s="206">
        <f>INDEX($A$78:$H$85,MATCH($L79,$B$78:$B$85,0),MATCH($M$77,$A$78:$H$78,0))*고양시_Modal_split!O$3 * 0.01</f>
        <v>8.8147538225512162E-2</v>
      </c>
      <c r="Z79" s="209">
        <f>INDEX($A$78:$H$85,MATCH($L79,$B$78:$B$85,0),MATCH($M$77,$A$78:$H$78,0))*고양시_Modal_split!P$3 * 0.01</f>
        <v>48.970854569728985</v>
      </c>
      <c r="AA79" s="207">
        <f>INDEX($A$78:$H$85,MATCH($L79,$B$78:$B$85,0),MATCH($AA$77,$A$78:$H$78,0))*고양시_Modal_split!C$3 * 0.01</f>
        <v>0.99235386057336161</v>
      </c>
      <c r="AB79" s="207">
        <f>INDEX($A$78:$H$85,MATCH($L79,$B$78:$B$85,0),MATCH($AA$77,$A$78:$H$78,0))*고양시_Modal_split!D$3 * 0.01</f>
        <v>166.68000736701859</v>
      </c>
      <c r="AC79" s="207">
        <f>INDEX($A$78:$H$85,MATCH($L79,$B$78:$B$85,0),MATCH($AA$77,$A$78:$H$78,0))*고양시_Modal_split!E$3 * 0.01</f>
        <v>20.166048095222958</v>
      </c>
      <c r="AD79" s="207">
        <f>INDEX($A$78:$H$85,MATCH($L79,$B$78:$B$85,0),MATCH($AA$77,$A$78:$H$78,0))*고양시_Modal_split!F$3 * 0.01</f>
        <v>32.499588933777595</v>
      </c>
      <c r="AE79" s="207">
        <f>INDEX($A$78:$H$85,MATCH($L79,$B$78:$B$85,0),MATCH($AA$77,$A$78:$H$78,0))*고양시_Modal_split!G$3 * 0.01</f>
        <v>3.2605912561696169</v>
      </c>
      <c r="AF79" s="207">
        <f>INDEX($A$78:$H$85,MATCH($L79,$B$78:$B$85,0),MATCH($AA$77,$A$78:$H$78,0))*고양시_Modal_split!H$3 * 0.01</f>
        <v>3.544120930619149E-2</v>
      </c>
      <c r="AG79" s="207">
        <f>INDEX($A$78:$H$85,MATCH($L79,$B$78:$B$85,0),MATCH($AA$77,$A$78:$H$78,0))*고양시_Modal_split!I$3 * 0.01</f>
        <v>9.8526561871212337</v>
      </c>
      <c r="AH79" s="207">
        <f>INDEX($A$78:$H$85,MATCH($L79,$B$78:$B$85,0),MATCH($AA$77,$A$78:$H$78,0))*고양시_Modal_split!J$3 * 0.01</f>
        <v>107.8830411280469</v>
      </c>
      <c r="AI79" s="207">
        <f>INDEX($A$78:$H$85,MATCH($L79,$B$78:$B$85,0),MATCH($AA$77,$A$78:$H$78,0))*고양시_Modal_split!K$3 * 0.01</f>
        <v>0.53161813959287241</v>
      </c>
      <c r="AJ79" s="207">
        <f>INDEX($A$78:$H$85,MATCH($L79,$B$78:$B$85,0),MATCH($AA$77,$A$78:$H$78,0))*고양시_Modal_split!L$3 * 0.01</f>
        <v>10.703245210469829</v>
      </c>
      <c r="AK79" s="207">
        <f>INDEX($A$78:$H$85,MATCH($L79,$B$78:$B$85,0),MATCH($AA$77,$A$78:$H$78,0))*고양시_Modal_split!M$3 * 0.01</f>
        <v>0.81514781404240422</v>
      </c>
      <c r="AL79" s="207">
        <f>INDEX($A$78:$H$85,MATCH($L79,$B$78:$B$85,0),MATCH($AA$77,$A$78:$H$78,0))*고양시_Modal_split!N$3 * 0.01</f>
        <v>0.3544120930619149</v>
      </c>
      <c r="AM79" s="207">
        <f>INDEX($A$78:$H$85,MATCH($L79,$B$78:$B$85,0),MATCH($AA$77,$A$78:$H$78,0))*고양시_Modal_split!O$3 * 0.01</f>
        <v>0.63794176751144682</v>
      </c>
      <c r="AN79" s="207">
        <f>INDEX($A$78:$H$85,MATCH($L79,$B$78:$B$85,0),MATCH($AA$77,$A$78:$H$78,0))*고양시_Modal_split!P$3 * 0.01</f>
        <v>354.41209306191496</v>
      </c>
      <c r="AO79" s="303">
        <f>INDEX($A$78:$H$85,MATCH($L36,$B$78:$B$85,0),MATCH($AO$77,$A$78:$H$78,0))*고양시_Modal_split!C$3 * 0.01</f>
        <v>5.6928884699024802E-2</v>
      </c>
      <c r="AP79" s="303">
        <f>INDEX($A$78:$H$85,MATCH($L36,$B$78:$B$85,0),MATCH($AO$77,$A$78:$H$78,0))*고양시_Modal_split!D$3 * 0.01</f>
        <v>9.5620194549826323</v>
      </c>
      <c r="AQ79" s="303">
        <f>INDEX($A$78:$H$85,MATCH($L36,$B$78:$B$85,0),MATCH($AO$77,$A$78:$H$78,0))*고양시_Modal_split!E$3 * 0.01</f>
        <v>1.1568762640623254</v>
      </c>
      <c r="AR79" s="303">
        <f>INDEX($A$78:$H$85,MATCH($L36,$B$78:$B$85,0),MATCH($AO$77,$A$78:$H$78,0))*고양시_Modal_split!F$3 * 0.01</f>
        <v>1.8644209738930624</v>
      </c>
      <c r="AS79" s="303">
        <f>INDEX($A$78:$H$85,MATCH($L36,$B$78:$B$85,0),MATCH($AO$77,$A$78:$H$78,0))*고양시_Modal_split!G$3 * 0.01</f>
        <v>0.18705204972536721</v>
      </c>
      <c r="AT79" s="303">
        <f>INDEX($A$78:$H$85,MATCH($L36,$B$78:$B$85,0),MATCH($AO$77,$A$78:$H$78,0))*고양시_Modal_split!H$3 * 0.01</f>
        <v>2.0331744535366002E-3</v>
      </c>
      <c r="AU79" s="303">
        <f>INDEX($A$78:$H$85,MATCH($L36,$B$78:$B$85,0),MATCH($AO$77,$A$78:$H$78,0))*고양시_Modal_split!I$3 * 0.01</f>
        <v>0.56522249808317482</v>
      </c>
      <c r="AV79" s="303">
        <f>INDEX($A$78:$H$85,MATCH($L36,$B$78:$B$85,0),MATCH($AO$77,$A$78:$H$78,0))*고양시_Modal_split!J$3 * 0.01</f>
        <v>6.1889830365654124</v>
      </c>
      <c r="AW79" s="303">
        <f>INDEX($A$78:$H$85,MATCH($L36,$B$78:$B$85,0),MATCH($AO$77,$A$78:$H$78,0))*고양시_Modal_split!K$3 * 0.01</f>
        <v>3.0497616803049001E-2</v>
      </c>
      <c r="AX79" s="303">
        <f>INDEX($A$78:$H$85,MATCH($L36,$B$78:$B$85,0),MATCH($AO$77,$A$78:$H$78,0))*고양시_Modal_split!L$3 * 0.01</f>
        <v>0.61401868496805334</v>
      </c>
      <c r="AY79" s="303">
        <f>INDEX($A$78:$H$85,MATCH($L36,$B$78:$B$85,0),MATCH($AO$77,$A$78:$H$78,0))*고양시_Modal_split!M$3 * 0.01</f>
        <v>4.6763012431341802E-2</v>
      </c>
      <c r="AZ79" s="303">
        <f>INDEX($A$78:$H$85,MATCH($L36,$B$78:$B$85,0),MATCH($AO$77,$A$78:$H$78,0))*고양시_Modal_split!N$3 * 0.01</f>
        <v>2.0331744535366007E-2</v>
      </c>
      <c r="BA79" s="207">
        <f>INDEX($A$78:$H$85,MATCH($L36,$B$78:$B$85,0),MATCH($AO$77,$A$78:$H$78,0))*고양시_Modal_split!O$3 * 0.01</f>
        <v>3.6597140163658802E-2</v>
      </c>
      <c r="BB79" s="207">
        <f>INDEX($A$78:$H$85,MATCH($L36,$B$78:$B$85,0),MATCH($AO$77,$A$78:$H$78,0))*고양시_Modal_split!P$3 * 0.01</f>
        <v>20.331744535366003</v>
      </c>
      <c r="BC79" s="207">
        <f>INDEX($A$78:$H$85,MATCH($L79,$B$78:$B$85,0),MATCH($BC$77,$A$78:$H$78,0))*고양시_Modal_split!C$3 * 0.01</f>
        <v>8.9463936143046092E-5</v>
      </c>
      <c r="BD79" s="207">
        <f>INDEX($A$78:$H$85,MATCH($L79,$B$78:$B$85,0),MATCH($BC$77,$A$78:$H$78,0))*고양시_Modal_split!D$3 * 0.01</f>
        <v>1.5026746131455208E-2</v>
      </c>
      <c r="BE79" s="207">
        <f>INDEX($A$78:$H$85,MATCH($L79,$B$78:$B$85,0),MATCH($BC$77,$A$78:$H$78,0))*고양시_Modal_split!E$3 * 0.01</f>
        <v>1.8180349880497582E-3</v>
      </c>
      <c r="BF79" s="207">
        <f>INDEX($A$78:$H$85,MATCH($L79,$B$78:$B$85,0),MATCH($BC$77,$A$78:$H$78,0))*고양시_Modal_split!F$3 * 0.01</f>
        <v>2.9299439086847598E-3</v>
      </c>
      <c r="BG79" s="207">
        <f>INDEX($A$78:$H$85,MATCH($L79,$B$78:$B$85,0),MATCH($BC$77,$A$78:$H$78,0))*고양시_Modal_split!G$3 * 0.01</f>
        <v>2.9395293304143718E-4</v>
      </c>
      <c r="BH79" s="207">
        <f>INDEX($A$78:$H$85,MATCH($L79,$B$78:$B$85,0),MATCH($BC$77,$A$78:$H$78,0))*고양시_Modal_split!H$3 * 0.01</f>
        <v>3.195140576537361E-6</v>
      </c>
      <c r="BI79" s="207">
        <f>INDEX($A$78:$H$85,MATCH($L79,$B$78:$B$85,0),MATCH($BC$77,$A$78:$H$78,0))*고양시_Modal_split!I$3 * 0.01</f>
        <v>8.8824908027738622E-4</v>
      </c>
      <c r="BJ79" s="207">
        <f>INDEX($A$78:$H$85,MATCH($L79,$B$78:$B$85,0),MATCH($BC$77,$A$78:$H$78,0))*고양시_Modal_split!J$3 * 0.01</f>
        <v>9.7260079149797257E-3</v>
      </c>
      <c r="BK79" s="207">
        <f>INDEX($A$78:$H$85,MATCH($L79,$B$78:$B$85,0),MATCH($BC$77,$A$78:$H$78,0))*고양시_Modal_split!K$3 * 0.01</f>
        <v>4.7927108648060408E-5</v>
      </c>
      <c r="BL79" s="207">
        <f>INDEX($A$78:$H$85,MATCH($L79,$B$78:$B$85,0),MATCH($BC$77,$A$78:$H$78,0))*고양시_Modal_split!L$3 * 0.01</f>
        <v>9.6493245411428301E-4</v>
      </c>
      <c r="BM79" s="207">
        <f>INDEX($A$78:$H$85,MATCH($L79,$B$78:$B$85,0),MATCH($BC$77,$A$78:$H$78,0))*고양시_Modal_split!M$3 * 0.01</f>
        <v>7.3488233260359296E-5</v>
      </c>
      <c r="BN79" s="207">
        <f>INDEX($A$78:$H$85,MATCH($L79,$B$78:$B$85,0),MATCH($BC$77,$A$78:$H$78,0))*고양시_Modal_split!N$3 * 0.01</f>
        <v>3.1951405765373605E-5</v>
      </c>
      <c r="BO79" s="207">
        <f>INDEX($A$78:$H$85,MATCH($L79,$B$78:$B$85,0),MATCH($BC$77,$A$78:$H$78,0))*고양시_Modal_split!O$3 * 0.01</f>
        <v>5.7512530377672493E-5</v>
      </c>
      <c r="BP79" s="207">
        <f>INDEX($A$78:$H$85,MATCH($L79,$B$78:$B$85,0),MATCH($BC$77,$A$78:$H$78,0))*고양시_Modal_split!P$3 * 0.01</f>
        <v>3.1951405765373607E-2</v>
      </c>
      <c r="BQ79" s="207">
        <f>INDEX($A$78:$H$85,MATCH($L36,$B$78:$B$85,0),MATCH($BQ$77,$A$78:$H$78,0))*고양시_Modal_split!C$3 * 0.01</f>
        <v>3.379748698737286E-4</v>
      </c>
      <c r="BR79" s="207">
        <f>INDEX($A$78:$H$85,MATCH($L36,$B$78:$B$85,0),MATCH($BQ$77,$A$78:$H$78,0))*고양시_Modal_split!D$3 * 0.01</f>
        <v>5.6767707607719486E-2</v>
      </c>
      <c r="BS79" s="207">
        <f>INDEX($A$78:$H$85,MATCH($L36,$B$78:$B$85,0),MATCH($BQ$77,$A$78:$H$78,0))*고양시_Modal_split!E$3 * 0.01</f>
        <v>6.8681321770768409E-3</v>
      </c>
      <c r="BT79" s="207">
        <f>INDEX($A$78:$H$85,MATCH($L36,$B$78:$B$85,0),MATCH($BQ$77,$A$78:$H$78,0))*고양시_Modal_split!F$3 * 0.01</f>
        <v>1.1068676988364612E-2</v>
      </c>
      <c r="BU79" s="207">
        <f>INDEX($A$78:$H$85,MATCH($L36,$B$78:$B$85,0),MATCH($BQ$77,$A$78:$H$78,0))*고양시_Modal_split!G$3 * 0.01</f>
        <v>1.1104888581565367E-3</v>
      </c>
      <c r="BV79" s="207">
        <f>INDEX($A$78:$H$85,MATCH($L36,$B$78:$B$85,0),MATCH($BQ$77,$A$78:$H$78,0))*고양시_Modal_split!H$3 * 0.01</f>
        <v>1.2070531066918878E-5</v>
      </c>
      <c r="BW79" s="207">
        <f>INDEX($A$78:$H$85,MATCH($L36,$B$78:$B$85,0),MATCH($BQ$77,$A$78:$H$78,0))*고양시_Modal_split!I$3 * 0.01</f>
        <v>3.3556076366034484E-3</v>
      </c>
      <c r="BX79" s="207">
        <f>INDEX($A$78:$H$85,MATCH($L36,$B$78:$B$85,0),MATCH($BQ$77,$A$78:$H$78,0))*고양시_Modal_split!J$3 * 0.01</f>
        <v>3.6742696567701065E-2</v>
      </c>
      <c r="BY79" s="207">
        <f>INDEX($A$78:$H$85,MATCH($L36,$B$78:$B$85,0),MATCH($BQ$77,$A$78:$H$78,0))*고양시_Modal_split!K$3 * 0.01</f>
        <v>1.8105796600378316E-4</v>
      </c>
      <c r="BZ79" s="207">
        <f>INDEX($A$78:$H$85,MATCH($L36,$B$78:$B$85,0),MATCH($BQ$77,$A$78:$H$78,0))*고양시_Modal_split!L$3 * 0.01</f>
        <v>3.6453003822095017E-3</v>
      </c>
      <c r="CA79" s="207">
        <f>INDEX($A$78:$H$85,MATCH($L36,$B$78:$B$85,0),MATCH($BQ$77,$A$78:$H$78,0))*고양시_Modal_split!M$3 * 0.01</f>
        <v>2.7762221453913417E-4</v>
      </c>
      <c r="CB79" s="207">
        <f>INDEX($A$78:$H$85,MATCH($L36,$B$78:$B$85,0),MATCH($BQ$77,$A$78:$H$78,0))*고양시_Modal_split!N$3 * 0.01</f>
        <v>1.207053106691888E-4</v>
      </c>
      <c r="CC79" s="207">
        <f>INDEX($A$78:$H$85,MATCH($L36,$B$78:$B$85,0),MATCH($BQ$77,$A$78:$H$78,0))*고양시_Modal_split!O$3 * 0.01</f>
        <v>2.1726955920453979E-4</v>
      </c>
      <c r="CD79" s="207">
        <f>INDEX($A$78:$H$85,MATCH($L36,$B$78:$B$85,0),MATCH($BQ$77,$A$78:$H$78,0))*고양시_Modal_split!P$3 * 0.01</f>
        <v>0.12070531066918878</v>
      </c>
      <c r="CE79" s="304">
        <f>M79+AA79+AO79+BC79+BQ79</f>
        <v>1.1868285768736444</v>
      </c>
      <c r="CF79" s="304">
        <f t="shared" ref="CF79:CR85" si="17">N79+AB79+AP79+BD79+BR79</f>
        <v>199.34481417988394</v>
      </c>
      <c r="CG79" s="304">
        <f t="shared" si="17"/>
        <v>24.118052151467985</v>
      </c>
      <c r="CH79" s="304">
        <f t="shared" si="17"/>
        <v>38.868635892611856</v>
      </c>
      <c r="CI79" s="304">
        <f t="shared" si="17"/>
        <v>3.8995796097276885</v>
      </c>
      <c r="CJ79" s="304">
        <f t="shared" si="17"/>
        <v>4.2386734888344442E-2</v>
      </c>
      <c r="CK79" s="304">
        <f t="shared" si="17"/>
        <v>11.783512298959756</v>
      </c>
      <c r="CL79" s="304">
        <f t="shared" si="17"/>
        <v>129.0252210001205</v>
      </c>
      <c r="CM79" s="304">
        <f t="shared" si="17"/>
        <v>0.63580102332516675</v>
      </c>
      <c r="CN79" s="304">
        <f t="shared" si="17"/>
        <v>12.800793936280021</v>
      </c>
      <c r="CO79" s="304">
        <f t="shared" si="17"/>
        <v>0.97489490243192212</v>
      </c>
      <c r="CP79" s="304">
        <f t="shared" si="17"/>
        <v>0.42386734888344452</v>
      </c>
      <c r="CQ79" s="304">
        <f t="shared" si="17"/>
        <v>0.76296122799019994</v>
      </c>
      <c r="CR79" s="304">
        <f t="shared" si="17"/>
        <v>423.86734888344449</v>
      </c>
      <c r="CS79" s="305">
        <f>H79-CR79</f>
        <v>0</v>
      </c>
      <c r="CV79" s="265"/>
      <c r="CW79" s="265" t="s">
        <v>710</v>
      </c>
      <c r="CX79" s="267">
        <f>INDEX($M$77:$Z$85,MATCH($CW79,$L$77:$L$85,0),MATCH(CX$78,$M$78:$Z$78,0))/INDEX(고양시_재차인원!$D$4:$H$35,MATCH("고양시",고양시_재차인원!$B$4:$B$35,0),MATCH($CX$77,고양시_재차인원!$D$4:$H$4,0))</f>
        <v>20.563386521556733</v>
      </c>
      <c r="CY79" s="267">
        <f>INDEX($M$77:$Z$85,MATCH($CW79,$L$77:$L$85,0),MATCH(CY$78,$M$78:$Z$78,0))/INDEX(고양시_재차인원!$K$4:$O$20,MATCH("경기도",고양시_재차인원!$K$4:$K$20,0),MATCH(CY$78,고양시_재차인원!$K$4:$O$4,0))</f>
        <v>1.7009675085004859E-4</v>
      </c>
      <c r="CZ79" s="267">
        <f>INDEX($M$77:$Z$85,MATCH($CW79,$L$77:$L$85,0),MATCH(CZ$78,$M$78:$Z$78,0))/INDEX(고양시_재차인원!$K$4:$O$20,MATCH("경기도",고양시_재차인원!$K$4:$K$20,0),MATCH(CZ$78,고양시_재차인원!$K$4:$O$4,0))</f>
        <v>4.7286896736313498E-2</v>
      </c>
      <c r="DA79" s="267">
        <f>INDEX($M$77:$Z$85,MATCH($CW79,$L$77:$L$85,0),MATCH(DA$78,$M$78:$Z$78,0))/INDEX(고양시_재차인원!$D$4:$H$35,MATCH("고양시",고양시_재차인원!$B$4:$B$35,0),MATCH($CX$77,고양시_재차인원!$D$4:$H$4,0))</f>
        <v>1.3204641142909066</v>
      </c>
      <c r="DB79" s="267">
        <f>INDEX($AA$77:$AN$85,MATCH($CW79,$L$77:$L$85,0),MATCH(DB$78,$AA$78:$AN$78,0))/INDEX(고양시_재차인원!$D$4:$H$35,MATCH("고양시",고양시_재차인원!$B$4:$B$35,0),MATCH($DB$77,고양시_재차인원!$D$4:$H$4,0))</f>
        <v>118.21277118228269</v>
      </c>
      <c r="DC79" s="267">
        <f>INDEX($AA$77:$AN$85,MATCH($CW79,$L$77:$L$85,0),MATCH(DC$78,$AA$78:$AN$78,0))/INDEX(고양시_재차인원!$K$4:$O$20,MATCH("경기도",고양시_재차인원!$K$4:$K$20,0),MATCH(DC$78,고양시_재차인원!$K$4:$O$4,0))</f>
        <v>1.2310249845846298E-3</v>
      </c>
      <c r="DD79" s="267">
        <f>INDEX($AA$77:$AN$85,MATCH($CW79,$L$77:$L$85,0),MATCH(DD$78,$AA$78:$AN$78,0))/INDEX(고양시_재차인원!$K$4:$O$20,MATCH("경기도",고양시_재차인원!$K$4:$K$20,0),MATCH(DD$78,고양시_재차인원!$K$4:$O$4,0))</f>
        <v>0.34222494571452705</v>
      </c>
      <c r="DE79" s="267">
        <f>INDEX($AA$77:$AN$85,MATCH($CW79,$L$77:$L$85,0),MATCH(DE$78,$AA$78:$AN$78,0))/INDEX(고양시_재차인원!$D$4:$H$35,MATCH("고양시",고양시_재차인원!$B$4:$B$35,0),MATCH($DB$77,고양시_재차인원!$D$4:$H$4,0))</f>
        <v>7.5909540499786026</v>
      </c>
      <c r="DF79" s="267">
        <f>INDEX($AO$77:$BB$85,MATCH($CW79,$L$77:$L$85,0),MATCH(DF$78,$AO$78:$BB$78,0))/INDEX(고양시_재차인원!$D$4:$H$35,MATCH("고양시",고양시_재차인원!$B$4:$B$35,0),MATCH($DF$77,고양시_재차인원!$D$4:$H$4,0))</f>
        <v>7.3553995807558703</v>
      </c>
      <c r="DG79" s="267">
        <f>INDEX($AO$77:$BB$85,MATCH($CW79,$L$77:$L$85,0),MATCH(DG$78,$AO$78:$BB$78,0))/INDEX(고양시_재차인원!$K$4:$O$20,MATCH("경기도",고양시_재차인원!$K$4:$K$20,0),MATCH(DG$78,고양시_재차인원!$K$4:$O$4,0))</f>
        <v>7.0620856322910745E-5</v>
      </c>
      <c r="DH79" s="267">
        <f>INDEX($AO$77:$BB$85,MATCH($CW79,$L$77:$L$85,0),MATCH(DH$78,$AO$78:$BB$78,0))/INDEX(고양시_재차인원!$K$4:$O$20,MATCH("경기도",고양시_재차인원!$K$4:$K$20,0),MATCH(DH$78,고양시_재차인원!$K$4:$O$4,0))</f>
        <v>1.9632598057769186E-2</v>
      </c>
      <c r="DI79" s="267">
        <f>INDEX($AO$77:$BB$85,MATCH($CW79,$L$77:$L$85,0),MATCH(DI$78,$AO$78:$BB$78,0))/INDEX(고양시_재차인원!$D$4:$H$35,MATCH("고양시",고양시_재차인원!$B$4:$B$35,0),MATCH($DF$77,고양시_재차인원!$D$4:$H$4,0))</f>
        <v>0.47232206536004101</v>
      </c>
      <c r="DJ79" s="267">
        <f>INDEX($BC$77:$BP$85,MATCH($CW79,$L$77:$L$85,0),MATCH(DJ$78,$BC$78:$BP$78,0))/INDEX(고양시_재차인원!$D$4:$H$35,MATCH("고양시",고양시_재차인원!$B$4:$B$35,0),MATCH($DJ$77,고양시_재차인원!$D$4:$H$4,0))</f>
        <v>1.1049078037834711E-2</v>
      </c>
      <c r="DK79" s="267">
        <f>INDEX($BC$77:$BP$85,MATCH($CW79,$L$77:$L$85,0),MATCH(DK$78,$BC$78:$BP$78,0))/INDEX(고양시_재차인원!$K$4:$O$20,MATCH("경기도",고양시_재차인원!$K$4:$K$20,0),MATCH(DK$78,고양시_재차인원!$K$4:$O$4,0))</f>
        <v>1.1098091617010632E-7</v>
      </c>
      <c r="DL79" s="267">
        <f>INDEX($BC$77:$BP$85,MATCH($CW79,$L$77:$L$85,0),MATCH(DL$78,$BC$78:$BP$78,0))/INDEX(고양시_재차인원!$K$4:$O$20,MATCH("경기도",고양시_재차인원!$K$4:$K$20,0),MATCH(DL$78,고양시_재차인원!$K$4:$O$4,0))</f>
        <v>3.0852694695289557E-5</v>
      </c>
      <c r="DM79" s="267">
        <f>INDEX($BC$77:$BP$85,MATCH($CW79,$L$77:$L$85,0),MATCH(DM$78,$BC$78:$BP$78,0))/INDEX(고양시_재차인원!$D$4:$H$35,MATCH("고양시",고양시_재차인원!$B$4:$B$35,0),MATCH($DJ$77,고양시_재차인원!$D$4:$H$4,0))</f>
        <v>7.0950915743697273E-4</v>
      </c>
      <c r="DN79" s="267">
        <f>INDEX($BQ$77:$CD$85,MATCH($CW79,$L$77:$L$85,0),MATCH(DN$78,$BQ$78:$CD$78,0))/INDEX(고양시_재차인원!$D$4:$H$35,MATCH("고양시",고양시_재차인원!$B$4:$B$35,0),MATCH($DN$77,고양시_재차인원!$D$4:$H$4,0))</f>
        <v>4.5053736196602766E-2</v>
      </c>
      <c r="DO79" s="267">
        <f>INDEX($BQ$77:$CD$85,MATCH($CW79,$L$77:$L$85,0),MATCH(DO$78,$BQ$78:$CD$78,0))/INDEX(고양시_재차인원!$K$4:$O$20,MATCH("경기도",고양시_재차인원!$K$4:$K$20,0),MATCH(DO$78,고양시_재차인원!$K$4:$O$4,0))</f>
        <v>4.1926123886484467E-7</v>
      </c>
      <c r="DP79" s="267">
        <f>INDEX($BQ$77:$CD$85,MATCH($CW79,$L$77:$L$85,0),MATCH(DP$78,$BQ$78:$CD$78,0))/INDEX(고양시_재차인원!$K$4:$O$20,MATCH("경기도",고양시_재차인원!$K$4:$K$20,0),MATCH(DP$78,고양시_재차인원!$K$4:$O$4,0))</f>
        <v>1.1655462440442683E-4</v>
      </c>
      <c r="DQ79" s="267">
        <f>INDEX($BQ$77:$CD$85,MATCH($CW79,$L$77:$L$85,0),MATCH(DQ$78,$BQ$78:$CD$78,0))/INDEX(고양시_재차인원!$D$4:$H$35,MATCH("고양시",고양시_재차인원!$B$4:$B$35,0),MATCH($DN$77,고양시_재차인원!$D$4:$H$4,0))</f>
        <v>2.8930955414361126E-3</v>
      </c>
      <c r="DR79" s="270">
        <f>CX79+DB79+DF79+DJ79+DN79</f>
        <v>146.18766009882972</v>
      </c>
      <c r="DS79" s="270">
        <f t="shared" ref="DS79:DU85" si="18">CY79+DC79+DG79+DK79+DO79</f>
        <v>1.4722728339126242E-3</v>
      </c>
      <c r="DT79" s="270">
        <f t="shared" si="18"/>
        <v>0.40929184782770939</v>
      </c>
      <c r="DU79" s="270">
        <f t="shared" si="18"/>
        <v>9.3873428343284235</v>
      </c>
      <c r="DW79" s="278"/>
      <c r="DX79" s="278" t="s">
        <v>710</v>
      </c>
      <c r="DY79" s="281">
        <f>DR79+DU79</f>
        <v>155.57500293315815</v>
      </c>
      <c r="DZ79" s="281">
        <f>DS79+DT79</f>
        <v>0.41076412066162199</v>
      </c>
      <c r="EB79" s="278"/>
      <c r="EC79" s="278" t="s">
        <v>12</v>
      </c>
      <c r="ED79" s="281">
        <f>DY79</f>
        <v>155.57500293315815</v>
      </c>
      <c r="EE79" s="281">
        <f t="shared" ref="EE79:EE85" si="19">DZ79</f>
        <v>0.41076412066162199</v>
      </c>
      <c r="EL79" s="420" t="s">
        <v>728</v>
      </c>
      <c r="EM79" s="420"/>
      <c r="EN79" s="420"/>
      <c r="EO79" s="420"/>
      <c r="EP79" s="421">
        <v>849201</v>
      </c>
      <c r="EQ79" s="422">
        <f>ED86</f>
        <v>789.78678983236671</v>
      </c>
      <c r="ER79" s="422">
        <f>EE86</f>
        <v>2.0852712204353345</v>
      </c>
      <c r="ES79">
        <v>0</v>
      </c>
      <c r="EU79" s="306" t="s">
        <v>728</v>
      </c>
      <c r="EV79" s="306"/>
      <c r="EW79" s="306"/>
      <c r="EX79" s="306"/>
      <c r="EY79" s="307">
        <v>849201</v>
      </c>
      <c r="EZ79" s="308">
        <f>EQ79*$EI$29</f>
        <v>789.78678983236671</v>
      </c>
      <c r="FA79" s="308">
        <f t="shared" ref="FA79" si="20">ER79*$EI$29</f>
        <v>2.0852712204353345</v>
      </c>
      <c r="FE79" t="s">
        <v>564</v>
      </c>
      <c r="FF79" t="s">
        <v>565</v>
      </c>
      <c r="FG79" t="s">
        <v>566</v>
      </c>
    </row>
    <row r="80" spans="1:164" ht="25">
      <c r="A80" s="205"/>
      <c r="B80" s="205" t="s">
        <v>712</v>
      </c>
      <c r="C80" s="400">
        <f>$D9*KTDB_TripDistribution_2040!T$12 * (1+KTDB_발생량도착량_증가율!$C$7) * (1+KTDB_발생량도착량_증가율!$D$8*5) * (1+KTDB_발생량도착량_증가율!$E$8*5) * (1+KTDB_발생량도착량_증가율!$F$8*5)</f>
        <v>93.055985829717031</v>
      </c>
      <c r="D80" s="400">
        <f>$D9*KTDB_TripDistribution_2040!U$12 * (1+KTDB_발생량도착량_증가율!$C$7) * (1+KTDB_발생량도착량_증가율!$D$8*5) * (1+KTDB_발생량도착량_증가율!$E$8*5) * (1+KTDB_발생량도착량_증가율!$F$8*5)</f>
        <v>673.46520700164342</v>
      </c>
      <c r="E80" s="400">
        <f>$D9*KTDB_TripDistribution_2040!V$12 * (1+KTDB_발생량도착량_증가율!$C$7) * (1+KTDB_발생량도착량_증가율!$D$8*5) * (1+KTDB_발생량도착량_증가율!$E$8*5) * (1+KTDB_발생량도착량_증가율!$F$8*5)</f>
        <v>38.635031959314986</v>
      </c>
      <c r="F80" s="400">
        <f>$D9*KTDB_TripDistribution_2040!W$12 * (1+KTDB_발생량도착량_증가율!$C$7) * (1+KTDB_발생량도착량_증가율!$D$8*5) * (1+KTDB_발생량도착량_증가율!$E$8*5) * (1+KTDB_발생량도착량_증가율!$F$8*5)</f>
        <v>6.0715084273412941E-2</v>
      </c>
      <c r="G80" s="400">
        <f>$D9*KTDB_TripDistribution_2040!X$12 * (1+KTDB_발생량도착량_증가율!$C$7) * (1+KTDB_발생량도착량_증가율!$D$8*5) * (1+KTDB_발생량도착량_증가율!$E$8*5) * (1+KTDB_발생량도착량_증가율!$F$8*5)</f>
        <v>0.22936809614400372</v>
      </c>
      <c r="H80" s="400">
        <f>$D9*KTDB_TripDistribution_2040!Y$12 * (1+KTDB_발생량도착량_증가율!$C$7) * (1+KTDB_발생량도착량_증가율!$D$8*5) * (1+KTDB_발생량도착량_증가율!$E$8*5) * (1+KTDB_발생량도착량_증가율!$F$8*5)</f>
        <v>805.44630797109301</v>
      </c>
      <c r="J80" s="230">
        <f t="shared" si="16"/>
        <v>805.44630797109278</v>
      </c>
      <c r="K80" s="206"/>
      <c r="L80" s="206" t="s">
        <v>712</v>
      </c>
      <c r="M80" s="206">
        <f>INDEX($A$78:$H$85,MATCH($L80,$B$78:$B$85,0),MATCH($M$77,$A$78:$H$78,0))*고양시_Modal_split!C$3 * 0.01</f>
        <v>0.26055676032320763</v>
      </c>
      <c r="N80" s="206">
        <f>INDEX($A$78:$H$85,MATCH($L80,$B$78:$B$85,0),MATCH($M$77,$A$78:$H$78,0))*고양시_Modal_split!D$3 * 0.01</f>
        <v>43.764230135715927</v>
      </c>
      <c r="O80" s="206">
        <f>INDEX($A$78:$H$85,MATCH($L80,$B$78:$B$85,0),MATCH($M$77,$A$78:$H$78,0))*고양시_Modal_split!E$3 * 0.01</f>
        <v>5.294885593710899</v>
      </c>
      <c r="P80" s="206">
        <f>INDEX($A$78:$H$85,MATCH($L80,$B$78:$B$85,0),MATCH($M$77,$A$78:$H$78,0))*고양시_Modal_split!F$3 * 0.01</f>
        <v>8.5332339005850528</v>
      </c>
      <c r="Q80" s="206">
        <f>INDEX($A$78:$H$85,MATCH($L80,$B$78:$B$85,0),MATCH($M$77,$A$78:$H$78,0))*고양시_Modal_split!G$3 * 0.01</f>
        <v>0.85611506963339667</v>
      </c>
      <c r="R80" s="206">
        <f>INDEX($A$78:$H$85,MATCH($L80,$B$78:$B$85,0),MATCH($M$77,$A$78:$H$78,0))*고양시_Modal_split!H$3 * 0.01</f>
        <v>9.3055985829717039E-3</v>
      </c>
      <c r="S80" s="206">
        <f>INDEX($A$78:$H$85,MATCH($L80,$B$78:$B$85,0),MATCH($M$77,$A$78:$H$78,0))*고양시_Modal_split!I$3 * 0.01</f>
        <v>2.5869564060661334</v>
      </c>
      <c r="T80" s="206">
        <f>INDEX($A$78:$H$85,MATCH($L80,$B$78:$B$85,0),MATCH($M$77,$A$78:$H$78,0))*고양시_Modal_split!J$3 * 0.01</f>
        <v>28.326242086565866</v>
      </c>
      <c r="U80" s="206">
        <f>INDEX($A$78:$H$85,MATCH($L80,$B$78:$B$85,0),MATCH($M$77,$A$78:$H$78,0))*고양시_Modal_split!K$3 * 0.01</f>
        <v>0.13958397874457557</v>
      </c>
      <c r="V80" s="206">
        <f>INDEX($A$78:$H$85,MATCH($L80,$B$78:$B$85,0),MATCH($M$77,$A$78:$H$78,0))*고양시_Modal_split!L$3 * 0.01</f>
        <v>2.8102907720574541</v>
      </c>
      <c r="W80" s="206">
        <f>INDEX($A$78:$H$85,MATCH($L80,$B$78:$B$85,0),MATCH($M$77,$A$78:$H$78,0))*고양시_Modal_split!M$3 * 0.01</f>
        <v>0.21402876740834917</v>
      </c>
      <c r="X80" s="206">
        <f>INDEX($A$78:$H$85,MATCH($L80,$B$78:$B$85,0),MATCH($M$77,$A$78:$H$78,0))*고양시_Modal_split!N$3 * 0.01</f>
        <v>9.3055985829717025E-2</v>
      </c>
      <c r="Y80" s="206">
        <f>INDEX($A$78:$H$85,MATCH($L80,$B$78:$B$85,0),MATCH($M$77,$A$78:$H$78,0))*고양시_Modal_split!O$3 * 0.01</f>
        <v>0.16750077449349063</v>
      </c>
      <c r="Z80" s="209">
        <f>INDEX($A$78:$H$85,MATCH($L80,$B$78:$B$85,0),MATCH($M$77,$A$78:$H$78,0))*고양시_Modal_split!P$3 * 0.01</f>
        <v>93.055985829717031</v>
      </c>
      <c r="AA80" s="207">
        <f>INDEX($A$78:$H$85,MATCH($L80,$B$78:$B$85,0),MATCH($AA$77,$A$78:$H$78,0))*고양시_Modal_split!C$3 * 0.01</f>
        <v>1.8857025796046014</v>
      </c>
      <c r="AB80" s="207">
        <f>INDEX($A$78:$H$85,MATCH($L80,$B$78:$B$85,0),MATCH($AA$77,$A$78:$H$78,0))*고양시_Modal_split!D$3 * 0.01</f>
        <v>316.73068685287291</v>
      </c>
      <c r="AC80" s="207">
        <f>INDEX($A$78:$H$85,MATCH($L80,$B$78:$B$85,0),MATCH($AA$77,$A$78:$H$78,0))*고양시_Modal_split!E$3 * 0.01</f>
        <v>38.320170278393505</v>
      </c>
      <c r="AD80" s="207">
        <f>INDEX($A$78:$H$85,MATCH($L80,$B$78:$B$85,0),MATCH($AA$77,$A$78:$H$78,0))*고양시_Modal_split!F$3 * 0.01</f>
        <v>61.756759482050704</v>
      </c>
      <c r="AE80" s="207">
        <f>INDEX($A$78:$H$85,MATCH($L80,$B$78:$B$85,0),MATCH($AA$77,$A$78:$H$78,0))*고양시_Modal_split!G$3 * 0.01</f>
        <v>6.1958799044151194</v>
      </c>
      <c r="AF80" s="207">
        <f>INDEX($A$78:$H$85,MATCH($L80,$B$78:$B$85,0),MATCH($AA$77,$A$78:$H$78,0))*고양시_Modal_split!H$3 * 0.01</f>
        <v>6.7346520700164336E-2</v>
      </c>
      <c r="AG80" s="207">
        <f>INDEX($A$78:$H$85,MATCH($L80,$B$78:$B$85,0),MATCH($AA$77,$A$78:$H$78,0))*고양시_Modal_split!I$3 * 0.01</f>
        <v>18.722332754645688</v>
      </c>
      <c r="AH80" s="207">
        <f>INDEX($A$78:$H$85,MATCH($L80,$B$78:$B$85,0),MATCH($AA$77,$A$78:$H$78,0))*고양시_Modal_split!J$3 * 0.01</f>
        <v>205.00280901130029</v>
      </c>
      <c r="AI80" s="207">
        <f>INDEX($A$78:$H$85,MATCH($L80,$B$78:$B$85,0),MATCH($AA$77,$A$78:$H$78,0))*고양시_Modal_split!K$3 * 0.01</f>
        <v>1.0101978105024652</v>
      </c>
      <c r="AJ80" s="207">
        <f>INDEX($A$78:$H$85,MATCH($L80,$B$78:$B$85,0),MATCH($AA$77,$A$78:$H$78,0))*고양시_Modal_split!L$3 * 0.01</f>
        <v>20.338649251449631</v>
      </c>
      <c r="AK80" s="207">
        <f>INDEX($A$78:$H$85,MATCH($L80,$B$78:$B$85,0),MATCH($AA$77,$A$78:$H$78,0))*고양시_Modal_split!M$3 * 0.01</f>
        <v>1.5489699761037798</v>
      </c>
      <c r="AL80" s="207">
        <f>INDEX($A$78:$H$85,MATCH($L80,$B$78:$B$85,0),MATCH($AA$77,$A$78:$H$78,0))*고양시_Modal_split!N$3 * 0.01</f>
        <v>0.67346520700164347</v>
      </c>
      <c r="AM80" s="207">
        <f>INDEX($A$78:$H$85,MATCH($L80,$B$78:$B$85,0),MATCH($AA$77,$A$78:$H$78,0))*고양시_Modal_split!O$3 * 0.01</f>
        <v>1.2122373726029581</v>
      </c>
      <c r="AN80" s="207">
        <f>INDEX($A$78:$H$85,MATCH($L80,$B$78:$B$85,0),MATCH($AA$77,$A$78:$H$78,0))*고양시_Modal_split!P$3 * 0.01</f>
        <v>673.46520700164342</v>
      </c>
      <c r="AO80" s="303">
        <f>INDEX($A$78:$H$85,MATCH($L37,$B$78:$B$85,0),MATCH($AO$77,$A$78:$H$78,0))*고양시_Modal_split!C$3 * 0.01</f>
        <v>0.10817808948608196</v>
      </c>
      <c r="AP80" s="303">
        <f>INDEX($A$78:$H$85,MATCH($L37,$B$78:$B$85,0),MATCH($AO$77,$A$78:$H$78,0))*고양시_Modal_split!D$3 * 0.01</f>
        <v>18.170055530465838</v>
      </c>
      <c r="AQ80" s="303">
        <f>INDEX($A$78:$H$85,MATCH($L37,$B$78:$B$85,0),MATCH($AO$77,$A$78:$H$78,0))*고양시_Modal_split!E$3 * 0.01</f>
        <v>2.1983333184850227</v>
      </c>
      <c r="AR80" s="303">
        <f>INDEX($A$78:$H$85,MATCH($L37,$B$78:$B$85,0),MATCH($AO$77,$A$78:$H$78,0))*고양시_Modal_split!F$3 * 0.01</f>
        <v>3.5428324306691845</v>
      </c>
      <c r="AS80" s="303">
        <f>INDEX($A$78:$H$85,MATCH($L37,$B$78:$B$85,0),MATCH($AO$77,$A$78:$H$78,0))*고양시_Modal_split!G$3 * 0.01</f>
        <v>0.35544229402569782</v>
      </c>
      <c r="AT80" s="303">
        <f>INDEX($A$78:$H$85,MATCH($L37,$B$78:$B$85,0),MATCH($AO$77,$A$78:$H$78,0))*고양시_Modal_split!H$3 * 0.01</f>
        <v>3.8635031959314988E-3</v>
      </c>
      <c r="AU80" s="303">
        <f>INDEX($A$78:$H$85,MATCH($L37,$B$78:$B$85,0),MATCH($AO$77,$A$78:$H$78,0))*고양시_Modal_split!I$3 * 0.01</f>
        <v>1.0740538884689566</v>
      </c>
      <c r="AV80" s="303">
        <f>INDEX($A$78:$H$85,MATCH($L37,$B$78:$B$85,0),MATCH($AO$77,$A$78:$H$78,0))*고양시_Modal_split!J$3 * 0.01</f>
        <v>11.760503728415484</v>
      </c>
      <c r="AW80" s="303">
        <f>INDEX($A$78:$H$85,MATCH($L37,$B$78:$B$85,0),MATCH($AO$77,$A$78:$H$78,0))*고양시_Modal_split!K$3 * 0.01</f>
        <v>5.7952547938972476E-2</v>
      </c>
      <c r="AX80" s="303">
        <f>INDEX($A$78:$H$85,MATCH($L37,$B$78:$B$85,0),MATCH($AO$77,$A$78:$H$78,0))*고양시_Modal_split!L$3 * 0.01</f>
        <v>1.1667779651713126</v>
      </c>
      <c r="AY80" s="303">
        <f>INDEX($A$78:$H$85,MATCH($L37,$B$78:$B$85,0),MATCH($AO$77,$A$78:$H$78,0))*고양시_Modal_split!M$3 * 0.01</f>
        <v>8.8860573506424456E-2</v>
      </c>
      <c r="AZ80" s="303">
        <f>INDEX($A$78:$H$85,MATCH($L37,$B$78:$B$85,0),MATCH($AO$77,$A$78:$H$78,0))*고양시_Modal_split!N$3 * 0.01</f>
        <v>3.8635031959314989E-2</v>
      </c>
      <c r="BA80" s="207">
        <f>INDEX($A$78:$H$85,MATCH($L37,$B$78:$B$85,0),MATCH($AO$77,$A$78:$H$78,0))*고양시_Modal_split!O$3 * 0.01</f>
        <v>6.9543057526766983E-2</v>
      </c>
      <c r="BB80" s="207">
        <f>INDEX($A$78:$H$85,MATCH($L37,$B$78:$B$85,0),MATCH($AO$77,$A$78:$H$78,0))*고양시_Modal_split!P$3 * 0.01</f>
        <v>38.635031959314986</v>
      </c>
      <c r="BC80" s="207">
        <f>INDEX($A$78:$H$85,MATCH($L80,$B$78:$B$85,0),MATCH($BC$77,$A$78:$H$78,0))*고양시_Modal_split!C$3 * 0.01</f>
        <v>1.7000223596555622E-4</v>
      </c>
      <c r="BD80" s="207">
        <f>INDEX($A$78:$H$85,MATCH($L80,$B$78:$B$85,0),MATCH($BC$77,$A$78:$H$78,0))*고양시_Modal_split!D$3 * 0.01</f>
        <v>2.8554304133786106E-2</v>
      </c>
      <c r="BE80" s="207">
        <f>INDEX($A$78:$H$85,MATCH($L80,$B$78:$B$85,0),MATCH($BC$77,$A$78:$H$78,0))*고양시_Modal_split!E$3 * 0.01</f>
        <v>3.454688295157196E-3</v>
      </c>
      <c r="BF80" s="207">
        <f>INDEX($A$78:$H$85,MATCH($L80,$B$78:$B$85,0),MATCH($BC$77,$A$78:$H$78,0))*고양시_Modal_split!F$3 * 0.01</f>
        <v>5.5675732278719671E-3</v>
      </c>
      <c r="BG80" s="207">
        <f>INDEX($A$78:$H$85,MATCH($L80,$B$78:$B$85,0),MATCH($BC$77,$A$78:$H$78,0))*고양시_Modal_split!G$3 * 0.01</f>
        <v>5.5857877531539902E-4</v>
      </c>
      <c r="BH80" s="207">
        <f>INDEX($A$78:$H$85,MATCH($L80,$B$78:$B$85,0),MATCH($BC$77,$A$78:$H$78,0))*고양시_Modal_split!H$3 * 0.01</f>
        <v>6.0715084273412945E-6</v>
      </c>
      <c r="BI80" s="207">
        <f>INDEX($A$78:$H$85,MATCH($L80,$B$78:$B$85,0),MATCH($BC$77,$A$78:$H$78,0))*고양시_Modal_split!I$3 * 0.01</f>
        <v>1.6878793428008795E-3</v>
      </c>
      <c r="BJ80" s="207">
        <f>INDEX($A$78:$H$85,MATCH($L80,$B$78:$B$85,0),MATCH($BC$77,$A$78:$H$78,0))*고양시_Modal_split!J$3 * 0.01</f>
        <v>1.8481671652826902E-2</v>
      </c>
      <c r="BK80" s="207">
        <f>INDEX($A$78:$H$85,MATCH($L80,$B$78:$B$85,0),MATCH($BC$77,$A$78:$H$78,0))*고양시_Modal_split!K$3 * 0.01</f>
        <v>9.1072626410119411E-5</v>
      </c>
      <c r="BL80" s="207">
        <f>INDEX($A$78:$H$85,MATCH($L80,$B$78:$B$85,0),MATCH($BC$77,$A$78:$H$78,0))*고양시_Modal_split!L$3 * 0.01</f>
        <v>1.833595545057071E-3</v>
      </c>
      <c r="BM80" s="207">
        <f>INDEX($A$78:$H$85,MATCH($L80,$B$78:$B$85,0),MATCH($BC$77,$A$78:$H$78,0))*고양시_Modal_split!M$3 * 0.01</f>
        <v>1.3964469382884975E-4</v>
      </c>
      <c r="BN80" s="207">
        <f>INDEX($A$78:$H$85,MATCH($L80,$B$78:$B$85,0),MATCH($BC$77,$A$78:$H$78,0))*고양시_Modal_split!N$3 * 0.01</f>
        <v>6.0715084273412939E-5</v>
      </c>
      <c r="BO80" s="207">
        <f>INDEX($A$78:$H$85,MATCH($L80,$B$78:$B$85,0),MATCH($BC$77,$A$78:$H$78,0))*고양시_Modal_split!O$3 * 0.01</f>
        <v>1.0928715169214329E-4</v>
      </c>
      <c r="BP80" s="207">
        <f>INDEX($A$78:$H$85,MATCH($L80,$B$78:$B$85,0),MATCH($BC$77,$A$78:$H$78,0))*고양시_Modal_split!P$3 * 0.01</f>
        <v>6.0715084273412948E-2</v>
      </c>
      <c r="BQ80" s="207">
        <f>INDEX($A$78:$H$85,MATCH($L37,$B$78:$B$85,0),MATCH($BQ$77,$A$78:$H$78,0))*고양시_Modal_split!C$3 * 0.01</f>
        <v>6.4223066920321035E-4</v>
      </c>
      <c r="BR80" s="207">
        <f>INDEX($A$78:$H$85,MATCH($L37,$B$78:$B$85,0),MATCH($BQ$77,$A$78:$H$78,0))*고양시_Modal_split!D$3 * 0.01</f>
        <v>0.10787181561652495</v>
      </c>
      <c r="BS80" s="207">
        <f>INDEX($A$78:$H$85,MATCH($L37,$B$78:$B$85,0),MATCH($BQ$77,$A$78:$H$78,0))*고양시_Modal_split!E$3 * 0.01</f>
        <v>1.3051044670593811E-2</v>
      </c>
      <c r="BT80" s="207">
        <f>INDEX($A$78:$H$85,MATCH($L37,$B$78:$B$85,0),MATCH($BQ$77,$A$78:$H$78,0))*고양시_Modal_split!F$3 * 0.01</f>
        <v>2.1033054416405142E-2</v>
      </c>
      <c r="BU80" s="207">
        <f>INDEX($A$78:$H$85,MATCH($L37,$B$78:$B$85,0),MATCH($BQ$77,$A$78:$H$78,0))*고양시_Modal_split!G$3 * 0.01</f>
        <v>2.1101864845248343E-3</v>
      </c>
      <c r="BV80" s="207">
        <f>INDEX($A$78:$H$85,MATCH($L37,$B$78:$B$85,0),MATCH($BQ$77,$A$78:$H$78,0))*고양시_Modal_split!H$3 * 0.01</f>
        <v>2.2936809614400371E-5</v>
      </c>
      <c r="BW80" s="207">
        <f>INDEX($A$78:$H$85,MATCH($L37,$B$78:$B$85,0),MATCH($BQ$77,$A$78:$H$78,0))*고양시_Modal_split!I$3 * 0.01</f>
        <v>6.3764330728033024E-3</v>
      </c>
      <c r="BX80" s="207">
        <f>INDEX($A$78:$H$85,MATCH($L37,$B$78:$B$85,0),MATCH($BQ$77,$A$78:$H$78,0))*고양시_Modal_split!J$3 * 0.01</f>
        <v>6.9819648466234729E-2</v>
      </c>
      <c r="BY80" s="207">
        <f>INDEX($A$78:$H$85,MATCH($L37,$B$78:$B$85,0),MATCH($BQ$77,$A$78:$H$78,0))*고양시_Modal_split!K$3 * 0.01</f>
        <v>3.4405214421600558E-4</v>
      </c>
      <c r="BZ80" s="207">
        <f>INDEX($A$78:$H$85,MATCH($L37,$B$78:$B$85,0),MATCH($BQ$77,$A$78:$H$78,0))*고양시_Modal_split!L$3 * 0.01</f>
        <v>6.9269165035489126E-3</v>
      </c>
      <c r="CA80" s="207">
        <f>INDEX($A$78:$H$85,MATCH($L37,$B$78:$B$85,0),MATCH($BQ$77,$A$78:$H$78,0))*고양시_Modal_split!M$3 * 0.01</f>
        <v>5.2754662113120858E-4</v>
      </c>
      <c r="CB80" s="207">
        <f>INDEX($A$78:$H$85,MATCH($L37,$B$78:$B$85,0),MATCH($BQ$77,$A$78:$H$78,0))*고양시_Modal_split!N$3 * 0.01</f>
        <v>2.2936809614400373E-4</v>
      </c>
      <c r="CC80" s="207">
        <f>INDEX($A$78:$H$85,MATCH($L37,$B$78:$B$85,0),MATCH($BQ$77,$A$78:$H$78,0))*고양시_Modal_split!O$3 * 0.01</f>
        <v>4.128625730592067E-4</v>
      </c>
      <c r="CD80" s="207">
        <f>INDEX($A$78:$H$85,MATCH($L37,$B$78:$B$85,0),MATCH($BQ$77,$A$78:$H$78,0))*고양시_Modal_split!P$3 * 0.01</f>
        <v>0.22936809614400372</v>
      </c>
      <c r="CE80" s="304">
        <f t="shared" ref="CE80:CE85" si="21">M80+AA80+AO80+BC80+BQ80</f>
        <v>2.2552496623190597</v>
      </c>
      <c r="CF80" s="304">
        <f t="shared" si="17"/>
        <v>378.80139863880498</v>
      </c>
      <c r="CG80" s="304">
        <f t="shared" si="17"/>
        <v>45.82989492355518</v>
      </c>
      <c r="CH80" s="304">
        <f t="shared" si="17"/>
        <v>73.859426440949221</v>
      </c>
      <c r="CI80" s="304">
        <f t="shared" si="17"/>
        <v>7.4101060333340545</v>
      </c>
      <c r="CJ80" s="304">
        <f t="shared" si="17"/>
        <v>8.0544630797109273E-2</v>
      </c>
      <c r="CK80" s="304">
        <f t="shared" si="17"/>
        <v>22.391407361596379</v>
      </c>
      <c r="CL80" s="304">
        <f t="shared" si="17"/>
        <v>245.17785614640067</v>
      </c>
      <c r="CM80" s="304">
        <f t="shared" si="17"/>
        <v>1.2081694619566392</v>
      </c>
      <c r="CN80" s="304">
        <f t="shared" si="17"/>
        <v>24.324478500727004</v>
      </c>
      <c r="CO80" s="304">
        <f t="shared" si="17"/>
        <v>1.8525265083335136</v>
      </c>
      <c r="CP80" s="304">
        <f t="shared" si="17"/>
        <v>0.80544630797109285</v>
      </c>
      <c r="CQ80" s="304">
        <f t="shared" si="17"/>
        <v>1.4498033543479671</v>
      </c>
      <c r="CR80" s="304">
        <f t="shared" si="17"/>
        <v>805.44630797109278</v>
      </c>
      <c r="CS80" s="305">
        <f t="shared" ref="CS80:CS85" si="22">H80-CR80</f>
        <v>0</v>
      </c>
      <c r="CV80" s="265"/>
      <c r="CW80" s="265" t="s">
        <v>712</v>
      </c>
      <c r="CX80" s="267">
        <f>INDEX($M$77:$Z$85,MATCH($CW80,$L$77:$L$85,0),MATCH(CX$78,$M$78:$Z$78,0))/INDEX(고양시_재차인원!$D$4:$H$35,MATCH("고양시",고양시_재차인원!$B$4:$B$35,0),MATCH($CX$77,고양시_재차인원!$D$4:$H$4,0))</f>
        <v>39.075205478317791</v>
      </c>
      <c r="CY80" s="267">
        <f>INDEX($M$77:$Z$85,MATCH($CW80,$L$77:$L$85,0),MATCH(CY$78,$M$78:$Z$78,0))/INDEX(고양시_재차인원!$K$4:$O$20,MATCH("경기도",고양시_재차인원!$K$4:$K$20,0),MATCH(CY$78,고양시_재차인원!$K$4:$O$4,0))</f>
        <v>3.2322329221853781E-4</v>
      </c>
      <c r="CZ80" s="267">
        <f>INDEX($M$77:$Z$85,MATCH($CW80,$L$77:$L$85,0),MATCH(CZ$78,$M$78:$Z$78,0))/INDEX(고양시_재차인원!$K$4:$O$20,MATCH("경기도",고양시_재차인원!$K$4:$K$20,0),MATCH(CZ$78,고양시_재차인원!$K$4:$O$4,0))</f>
        <v>8.9856075236753513E-2</v>
      </c>
      <c r="DA80" s="267">
        <f>INDEX($M$77:$Z$85,MATCH($CW80,$L$77:$L$85,0),MATCH(DA$78,$M$78:$Z$78,0))/INDEX(고양시_재차인원!$D$4:$H$35,MATCH("고양시",고양시_재차인원!$B$4:$B$35,0),MATCH($CX$77,고양시_재차인원!$D$4:$H$4,0))</f>
        <v>2.5091881893370123</v>
      </c>
      <c r="DB80" s="267">
        <f>INDEX($AA$77:$AN$85,MATCH($CW80,$L$77:$L$85,0),MATCH(DB$78,$AA$78:$AN$78,0))/INDEX(고양시_재차인원!$D$4:$H$35,MATCH("고양시",고양시_재차인원!$B$4:$B$35,0),MATCH($DB$77,고양시_재차인원!$D$4:$H$4,0))</f>
        <v>224.63169280345596</v>
      </c>
      <c r="DC80" s="267">
        <f>INDEX($AA$77:$AN$85,MATCH($CW80,$L$77:$L$85,0),MATCH(DC$78,$AA$78:$AN$78,0))/INDEX(고양시_재차인원!$K$4:$O$20,MATCH("경기도",고양시_재차인원!$K$4:$K$20,0),MATCH(DC$78,고양시_재차인원!$K$4:$O$4,0))</f>
        <v>2.3392330913568717E-3</v>
      </c>
      <c r="DD80" s="267">
        <f>INDEX($AA$77:$AN$85,MATCH($CW80,$L$77:$L$85,0),MATCH(DD$78,$AA$78:$AN$78,0))/INDEX(고양시_재차인원!$K$4:$O$20,MATCH("경기도",고양시_재차인원!$K$4:$K$20,0),MATCH(DD$78,고양시_재차인원!$K$4:$O$4,0))</f>
        <v>0.65030679939721048</v>
      </c>
      <c r="DE80" s="267">
        <f>INDEX($AA$77:$AN$85,MATCH($CW80,$L$77:$L$85,0),MATCH(DE$78,$AA$78:$AN$78,0))/INDEX(고양시_재차인원!$D$4:$H$35,MATCH("고양시",고양시_재차인원!$B$4:$B$35,0),MATCH($DB$77,고양시_재차인원!$D$4:$H$4,0))</f>
        <v>14.424573937198321</v>
      </c>
      <c r="DF80" s="267">
        <f>INDEX($AO$77:$BB$85,MATCH($CW80,$L$77:$L$85,0),MATCH(DF$78,$AO$78:$BB$78,0))/INDEX(고양시_재차인원!$D$4:$H$35,MATCH("고양시",고양시_재차인원!$B$4:$B$35,0),MATCH($DF$77,고양시_재차인원!$D$4:$H$4,0))</f>
        <v>13.976965792666029</v>
      </c>
      <c r="DG80" s="267">
        <f>INDEX($AO$77:$BB$85,MATCH($CW80,$L$77:$L$85,0),MATCH(DG$78,$AO$78:$BB$78,0))/INDEX(고양시_재차인원!$K$4:$O$20,MATCH("경기도",고양시_재차인원!$K$4:$K$20,0),MATCH(DG$78,고양시_재차인원!$K$4:$O$4,0))</f>
        <v>1.3419601236302532E-4</v>
      </c>
      <c r="DH80" s="267">
        <f>INDEX($AO$77:$BB$85,MATCH($CW80,$L$77:$L$85,0),MATCH(DH$78,$AO$78:$BB$78,0))/INDEX(고양시_재차인원!$K$4:$O$20,MATCH("경기도",고양시_재차인원!$K$4:$K$20,0),MATCH(DH$78,고양시_재차인원!$K$4:$O$4,0))</f>
        <v>3.7306491436921031E-2</v>
      </c>
      <c r="DI80" s="267">
        <f>INDEX($AO$77:$BB$85,MATCH($CW80,$L$77:$L$85,0),MATCH(DI$78,$AO$78:$BB$78,0))/INDEX(고양시_재차인원!$D$4:$H$35,MATCH("고양시",고양시_재차인원!$B$4:$B$35,0),MATCH($DF$77,고양시_재차인원!$D$4:$H$4,0))</f>
        <v>0.89752151167024041</v>
      </c>
      <c r="DJ80" s="267">
        <f>INDEX($BC$77:$BP$85,MATCH($CW80,$L$77:$L$85,0),MATCH(DJ$78,$BC$78:$BP$78,0))/INDEX(고양시_재차인원!$D$4:$H$35,MATCH("고양시",고양시_재차인원!$B$4:$B$35,0),MATCH($DJ$77,고양시_재차인원!$D$4:$H$4,0))</f>
        <v>2.0995811863078018E-2</v>
      </c>
      <c r="DK80" s="267">
        <f>INDEX($BC$77:$BP$85,MATCH($CW80,$L$77:$L$85,0),MATCH(DK$78,$BC$78:$BP$78,0))/INDEX(고양시_재차인원!$K$4:$O$20,MATCH("경기도",고양시_재차인원!$K$4:$K$20,0),MATCH(DK$78,고양시_재차인원!$K$4:$O$4,0))</f>
        <v>2.1088949035572401E-7</v>
      </c>
      <c r="DL80" s="267">
        <f>INDEX($BC$77:$BP$85,MATCH($CW80,$L$77:$L$85,0),MATCH(DL$78,$BC$78:$BP$78,0))/INDEX(고양시_재차인원!$K$4:$O$20,MATCH("경기도",고양시_재차인원!$K$4:$K$20,0),MATCH(DL$78,고양시_재차인원!$K$4:$O$4,0))</f>
        <v>5.8627278318891262E-5</v>
      </c>
      <c r="DM80" s="267">
        <f>INDEX($BC$77:$BP$85,MATCH($CW80,$L$77:$L$85,0),MATCH(DM$78,$BC$78:$BP$78,0))/INDEX(고양시_재차인원!$D$4:$H$35,MATCH("고양시",고양시_재차인원!$B$4:$B$35,0),MATCH($DJ$77,고양시_재차인원!$D$4:$H$4,0))</f>
        <v>1.3482320184243167E-3</v>
      </c>
      <c r="DN80" s="267">
        <f>INDEX($BQ$77:$CD$85,MATCH($CW80,$L$77:$L$85,0),MATCH(DN$78,$BQ$78:$CD$78,0))/INDEX(고양시_재차인원!$D$4:$H$35,MATCH("고양시",고양시_재차인원!$B$4:$B$35,0),MATCH($DN$77,고양시_재차인원!$D$4:$H$4,0))</f>
        <v>8.5612552076607104E-2</v>
      </c>
      <c r="DO80" s="267">
        <f>INDEX($BQ$77:$CD$85,MATCH($CW80,$L$77:$L$85,0),MATCH(DO$78,$BQ$78:$CD$78,0))/INDEX(고양시_재차인원!$K$4:$O$20,MATCH("경기도",고양시_재차인원!$K$4:$K$20,0),MATCH(DO$78,고양시_재차인원!$K$4:$O$4,0))</f>
        <v>7.9669363023273258E-7</v>
      </c>
      <c r="DP80" s="267">
        <f>INDEX($BQ$77:$CD$85,MATCH($CW80,$L$77:$L$85,0),MATCH(DP$78,$BQ$78:$CD$78,0))/INDEX(고양시_재차인원!$K$4:$O$20,MATCH("경기도",고양시_재차인원!$K$4:$K$20,0),MATCH(DP$78,고양시_재차인원!$K$4:$O$4,0))</f>
        <v>2.2148082920469964E-4</v>
      </c>
      <c r="DQ80" s="267">
        <f>INDEX($BQ$77:$CD$85,MATCH($CW80,$L$77:$L$85,0),MATCH(DQ$78,$BQ$78:$CD$78,0))/INDEX(고양시_재차인원!$D$4:$H$35,MATCH("고양시",고양시_재차인원!$B$4:$B$35,0),MATCH($DN$77,고양시_재차인원!$D$4:$H$4,0))</f>
        <v>5.4975527805943749E-3</v>
      </c>
      <c r="DR80" s="270">
        <f t="shared" ref="DR80:DR85" si="23">CX80+DB80+DF80+DJ80+DN80</f>
        <v>277.79047243837948</v>
      </c>
      <c r="DS80" s="270">
        <f t="shared" si="18"/>
        <v>2.7976599790590227E-3</v>
      </c>
      <c r="DT80" s="270">
        <f t="shared" si="18"/>
        <v>0.77774947417840856</v>
      </c>
      <c r="DU80" s="270">
        <f t="shared" si="18"/>
        <v>17.838129423004595</v>
      </c>
      <c r="DW80" s="278"/>
      <c r="DX80" s="278" t="s">
        <v>712</v>
      </c>
      <c r="DY80" s="281">
        <f t="shared" ref="DY80:DY85" si="24">DR80+DU80</f>
        <v>295.62860186138408</v>
      </c>
      <c r="DZ80" s="281">
        <f t="shared" ref="DZ80:DZ85" si="25">DS80+DT80</f>
        <v>0.78054713415746757</v>
      </c>
      <c r="EB80" s="278"/>
      <c r="EC80" s="278" t="s">
        <v>667</v>
      </c>
      <c r="ED80" s="281">
        <f t="shared" ref="ED80:ED85" si="26">DY80</f>
        <v>295.62860186138408</v>
      </c>
      <c r="EE80" s="281">
        <f t="shared" si="19"/>
        <v>0.78054713415746757</v>
      </c>
      <c r="FE80" t="s">
        <v>12</v>
      </c>
      <c r="FF80" t="s">
        <v>567</v>
      </c>
      <c r="FG80">
        <v>8014.2473</v>
      </c>
      <c r="FH80" s="277" t="e">
        <f t="shared" ref="FH80:FH85" si="27">FG80/SUMIF($FE$98:$FE$132,"="&amp;FE80,$FG$98:$FG$132)</f>
        <v>#DIV/0!</v>
      </c>
    </row>
    <row r="81" spans="1:164" ht="37.5">
      <c r="A81" s="205"/>
      <c r="B81" s="205" t="s">
        <v>714</v>
      </c>
      <c r="C81" s="400">
        <f>$D10*KTDB_TripDistribution_2040!T$12 * (1+KTDB_발생량도착량_증가율!$C$7) * (1+KTDB_발생량도착량_증가율!$D$8*5) * (1+KTDB_발생량도착량_증가율!$E$8*5) * (1+KTDB_발생량도착량_증가율!$F$8*5)</f>
        <v>17.838571154170417</v>
      </c>
      <c r="D81" s="400">
        <f>$D10*KTDB_TripDistribution_2040!U$12 * (1+KTDB_발생량도착량_증가율!$C$7) * (1+KTDB_발생량도착량_증가율!$D$8*5) * (1+KTDB_발생량도착량_증가율!$E$8*5) * (1+KTDB_발생량도착량_증가율!$F$8*5)</f>
        <v>129.10138888798295</v>
      </c>
      <c r="E81" s="400">
        <f>$D10*KTDB_TripDistribution_2040!V$12 * (1+KTDB_발생량도착량_증가율!$C$7) * (1+KTDB_발생량도착량_증가율!$D$8*5) * (1+KTDB_발생량도착량_증가율!$E$8*5) * (1+KTDB_발생량도착량_증가율!$F$8*5)</f>
        <v>7.406227127731932</v>
      </c>
      <c r="F81" s="400">
        <f>$D10*KTDB_TripDistribution_2040!W$12 * (1+KTDB_발생량도착량_증가율!$C$7) * (1+KTDB_발생량도착량_증가율!$D$8*5) * (1+KTDB_발생량도착량_증가율!$E$8*5) * (1+KTDB_발생량도착량_증가율!$F$8*5)</f>
        <v>1.1638911148871592E-2</v>
      </c>
      <c r="G81" s="400">
        <f>$D10*KTDB_TripDistribution_2040!X$12 * (1+KTDB_발생량도착량_증가율!$C$7) * (1+KTDB_발생량도착량_증가율!$D$8*5) * (1+KTDB_발생량도착량_증가율!$E$8*5) * (1+KTDB_발생량도착량_증가율!$F$8*5)</f>
        <v>4.3969219895736988E-2</v>
      </c>
      <c r="H81" s="400">
        <f>$D10*KTDB_TripDistribution_2040!Y$12 * (1+KTDB_발생량도착량_증가율!$C$7) * (1+KTDB_발생량도착량_증가율!$D$8*5) * (1+KTDB_발생량도착량_증가율!$E$8*5) * (1+KTDB_발생량도착량_증가율!$F$8*5)</f>
        <v>154.4017953009299</v>
      </c>
      <c r="J81" s="230">
        <f t="shared" si="16"/>
        <v>154.4017953009299</v>
      </c>
      <c r="K81" s="206"/>
      <c r="L81" s="206" t="s">
        <v>714</v>
      </c>
      <c r="M81" s="206">
        <f>INDEX($A$78:$H$85,MATCH($L81,$B$78:$B$85,0),MATCH($M$77,$A$78:$H$78,0))*고양시_Modal_split!C$3 * 0.01</f>
        <v>4.9947999231677163E-2</v>
      </c>
      <c r="N81" s="206">
        <f>INDEX($A$78:$H$85,MATCH($L81,$B$78:$B$85,0),MATCH($M$77,$A$78:$H$78,0))*고양시_Modal_split!D$3 * 0.01</f>
        <v>8.389480013806347</v>
      </c>
      <c r="O81" s="206">
        <f>INDEX($A$78:$H$85,MATCH($L81,$B$78:$B$85,0),MATCH($M$77,$A$78:$H$78,0))*고양시_Modal_split!E$3 * 0.01</f>
        <v>1.0150146986722965</v>
      </c>
      <c r="P81" s="206">
        <f>INDEX($A$78:$H$85,MATCH($L81,$B$78:$B$85,0),MATCH($M$77,$A$78:$H$78,0))*고양시_Modal_split!F$3 * 0.01</f>
        <v>1.6357969748374275</v>
      </c>
      <c r="Q81" s="206">
        <f>INDEX($A$78:$H$85,MATCH($L81,$B$78:$B$85,0),MATCH($M$77,$A$78:$H$78,0))*고양시_Modal_split!G$3 * 0.01</f>
        <v>0.16411485461836783</v>
      </c>
      <c r="R81" s="206">
        <f>INDEX($A$78:$H$85,MATCH($L81,$B$78:$B$85,0),MATCH($M$77,$A$78:$H$78,0))*고양시_Modal_split!H$3 * 0.01</f>
        <v>1.7838571154170418E-3</v>
      </c>
      <c r="S81" s="206">
        <f>INDEX($A$78:$H$85,MATCH($L81,$B$78:$B$85,0),MATCH($M$77,$A$78:$H$78,0))*고양시_Modal_split!I$3 * 0.01</f>
        <v>0.49591227808593757</v>
      </c>
      <c r="T81" s="206">
        <f>INDEX($A$78:$H$85,MATCH($L81,$B$78:$B$85,0),MATCH($M$77,$A$78:$H$78,0))*고양시_Modal_split!J$3 * 0.01</f>
        <v>5.4300610593294758</v>
      </c>
      <c r="U81" s="206">
        <f>INDEX($A$78:$H$85,MATCH($L81,$B$78:$B$85,0),MATCH($M$77,$A$78:$H$78,0))*고양시_Modal_split!K$3 * 0.01</f>
        <v>2.6757856731255622E-2</v>
      </c>
      <c r="V81" s="206">
        <f>INDEX($A$78:$H$85,MATCH($L81,$B$78:$B$85,0),MATCH($M$77,$A$78:$H$78,0))*고양시_Modal_split!L$3 * 0.01</f>
        <v>0.53872484885594663</v>
      </c>
      <c r="W81" s="206">
        <f>INDEX($A$78:$H$85,MATCH($L81,$B$78:$B$85,0),MATCH($M$77,$A$78:$H$78,0))*고양시_Modal_split!M$3 * 0.01</f>
        <v>4.1028713654591958E-2</v>
      </c>
      <c r="X81" s="206">
        <f>INDEX($A$78:$H$85,MATCH($L81,$B$78:$B$85,0),MATCH($M$77,$A$78:$H$78,0))*고양시_Modal_split!N$3 * 0.01</f>
        <v>1.7838571154170417E-2</v>
      </c>
      <c r="Y81" s="206">
        <f>INDEX($A$78:$H$85,MATCH($L81,$B$78:$B$85,0),MATCH($M$77,$A$78:$H$78,0))*고양시_Modal_split!O$3 * 0.01</f>
        <v>3.2109428077506753E-2</v>
      </c>
      <c r="Z81" s="209">
        <f>INDEX($A$78:$H$85,MATCH($L81,$B$78:$B$85,0),MATCH($M$77,$A$78:$H$78,0))*고양시_Modal_split!P$3 * 0.01</f>
        <v>17.838571154170417</v>
      </c>
      <c r="AA81" s="207">
        <f>INDEX($A$78:$H$85,MATCH($L81,$B$78:$B$85,0),MATCH($AA$77,$A$78:$H$78,0))*고양시_Modal_split!C$3 * 0.01</f>
        <v>0.36148388888635224</v>
      </c>
      <c r="AB81" s="207">
        <f>INDEX($A$78:$H$85,MATCH($L81,$B$78:$B$85,0),MATCH($AA$77,$A$78:$H$78,0))*고양시_Modal_split!D$3 * 0.01</f>
        <v>60.716383194018384</v>
      </c>
      <c r="AC81" s="207">
        <f>INDEX($A$78:$H$85,MATCH($L81,$B$78:$B$85,0),MATCH($AA$77,$A$78:$H$78,0))*고양시_Modal_split!E$3 * 0.01</f>
        <v>7.3458690277262297</v>
      </c>
      <c r="AD81" s="207">
        <f>INDEX($A$78:$H$85,MATCH($L81,$B$78:$B$85,0),MATCH($AA$77,$A$78:$H$78,0))*고양시_Modal_split!F$3 * 0.01</f>
        <v>11.838597361028038</v>
      </c>
      <c r="AE81" s="207">
        <f>INDEX($A$78:$H$85,MATCH($L81,$B$78:$B$85,0),MATCH($AA$77,$A$78:$H$78,0))*고양시_Modal_split!G$3 * 0.01</f>
        <v>1.1877327777694431</v>
      </c>
      <c r="AF81" s="207">
        <f>INDEX($A$78:$H$85,MATCH($L81,$B$78:$B$85,0),MATCH($AA$77,$A$78:$H$78,0))*고양시_Modal_split!H$3 * 0.01</f>
        <v>1.2910138888798295E-2</v>
      </c>
      <c r="AG81" s="207">
        <f>INDEX($A$78:$H$85,MATCH($L81,$B$78:$B$85,0),MATCH($AA$77,$A$78:$H$78,0))*고양시_Modal_split!I$3 * 0.01</f>
        <v>3.5890186110859261</v>
      </c>
      <c r="AH81" s="207">
        <f>INDEX($A$78:$H$85,MATCH($L81,$B$78:$B$85,0),MATCH($AA$77,$A$78:$H$78,0))*고양시_Modal_split!J$3 * 0.01</f>
        <v>39.298462777502017</v>
      </c>
      <c r="AI81" s="207">
        <f>INDEX($A$78:$H$85,MATCH($L81,$B$78:$B$85,0),MATCH($AA$77,$A$78:$H$78,0))*고양시_Modal_split!K$3 * 0.01</f>
        <v>0.1936520833319744</v>
      </c>
      <c r="AJ81" s="207">
        <f>INDEX($A$78:$H$85,MATCH($L81,$B$78:$B$85,0),MATCH($AA$77,$A$78:$H$78,0))*고양시_Modal_split!L$3 * 0.01</f>
        <v>3.8988619444170851</v>
      </c>
      <c r="AK81" s="207">
        <f>INDEX($A$78:$H$85,MATCH($L81,$B$78:$B$85,0),MATCH($AA$77,$A$78:$H$78,0))*고양시_Modal_split!M$3 * 0.01</f>
        <v>0.29693319444236077</v>
      </c>
      <c r="AL81" s="207">
        <f>INDEX($A$78:$H$85,MATCH($L81,$B$78:$B$85,0),MATCH($AA$77,$A$78:$H$78,0))*고양시_Modal_split!N$3 * 0.01</f>
        <v>0.12910138888798295</v>
      </c>
      <c r="AM81" s="207">
        <f>INDEX($A$78:$H$85,MATCH($L81,$B$78:$B$85,0),MATCH($AA$77,$A$78:$H$78,0))*고양시_Modal_split!O$3 * 0.01</f>
        <v>0.23238249999836932</v>
      </c>
      <c r="AN81" s="207">
        <f>INDEX($A$78:$H$85,MATCH($L81,$B$78:$B$85,0),MATCH($AA$77,$A$78:$H$78,0))*고양시_Modal_split!P$3 * 0.01</f>
        <v>129.10138888798295</v>
      </c>
      <c r="AO81" s="303">
        <f>INDEX($A$78:$H$85,MATCH($L38,$B$78:$B$85,0),MATCH($AO$77,$A$78:$H$78,0))*고양시_Modal_split!C$3 * 0.01</f>
        <v>2.073743595764941E-2</v>
      </c>
      <c r="AP81" s="303">
        <f>INDEX($A$78:$H$85,MATCH($L38,$B$78:$B$85,0),MATCH($AO$77,$A$78:$H$78,0))*고양시_Modal_split!D$3 * 0.01</f>
        <v>3.4831486181723279</v>
      </c>
      <c r="AQ81" s="303">
        <f>INDEX($A$78:$H$85,MATCH($L38,$B$78:$B$85,0),MATCH($AO$77,$A$78:$H$78,0))*고양시_Modal_split!E$3 * 0.01</f>
        <v>0.42141432356794689</v>
      </c>
      <c r="AR81" s="303">
        <f>INDEX($A$78:$H$85,MATCH($L38,$B$78:$B$85,0),MATCH($AO$77,$A$78:$H$78,0))*고양시_Modal_split!F$3 * 0.01</f>
        <v>0.67915102761301815</v>
      </c>
      <c r="AS81" s="303">
        <f>INDEX($A$78:$H$85,MATCH($L38,$B$78:$B$85,0),MATCH($AO$77,$A$78:$H$78,0))*고양시_Modal_split!G$3 * 0.01</f>
        <v>6.8137289575133778E-2</v>
      </c>
      <c r="AT81" s="303">
        <f>INDEX($A$78:$H$85,MATCH($L38,$B$78:$B$85,0),MATCH($AO$77,$A$78:$H$78,0))*고양시_Modal_split!H$3 * 0.01</f>
        <v>7.4062271277319325E-4</v>
      </c>
      <c r="AU81" s="303">
        <f>INDEX($A$78:$H$85,MATCH($L38,$B$78:$B$85,0),MATCH($AO$77,$A$78:$H$78,0))*고양시_Modal_split!I$3 * 0.01</f>
        <v>0.20589311415094769</v>
      </c>
      <c r="AV81" s="303">
        <f>INDEX($A$78:$H$85,MATCH($L38,$B$78:$B$85,0),MATCH($AO$77,$A$78:$H$78,0))*고양시_Modal_split!J$3 * 0.01</f>
        <v>2.2544555376816002</v>
      </c>
      <c r="AW81" s="303">
        <f>INDEX($A$78:$H$85,MATCH($L38,$B$78:$B$85,0),MATCH($AO$77,$A$78:$H$78,0))*고양시_Modal_split!K$3 * 0.01</f>
        <v>1.1109340691597898E-2</v>
      </c>
      <c r="AX81" s="303">
        <f>INDEX($A$78:$H$85,MATCH($L38,$B$78:$B$85,0),MATCH($AO$77,$A$78:$H$78,0))*고양시_Modal_split!L$3 * 0.01</f>
        <v>0.22366805925750435</v>
      </c>
      <c r="AY81" s="303">
        <f>INDEX($A$78:$H$85,MATCH($L38,$B$78:$B$85,0),MATCH($AO$77,$A$78:$H$78,0))*고양시_Modal_split!M$3 * 0.01</f>
        <v>1.7034322393783444E-2</v>
      </c>
      <c r="AZ81" s="303">
        <f>INDEX($A$78:$H$85,MATCH($L38,$B$78:$B$85,0),MATCH($AO$77,$A$78:$H$78,0))*고양시_Modal_split!N$3 * 0.01</f>
        <v>7.4062271277319323E-3</v>
      </c>
      <c r="BA81" s="207">
        <f>INDEX($A$78:$H$85,MATCH($L38,$B$78:$B$85,0),MATCH($AO$77,$A$78:$H$78,0))*고양시_Modal_split!O$3 * 0.01</f>
        <v>1.3331208829917479E-2</v>
      </c>
      <c r="BB81" s="207">
        <f>INDEX($A$78:$H$85,MATCH($L38,$B$78:$B$85,0),MATCH($AO$77,$A$78:$H$78,0))*고양시_Modal_split!P$3 * 0.01</f>
        <v>7.4062271277319329</v>
      </c>
      <c r="BC81" s="207">
        <f>INDEX($A$78:$H$85,MATCH($L81,$B$78:$B$85,0),MATCH($BC$77,$A$78:$H$78,0))*고양시_Modal_split!C$3 * 0.01</f>
        <v>3.2588951216840457E-5</v>
      </c>
      <c r="BD81" s="207">
        <f>INDEX($A$78:$H$85,MATCH($L81,$B$78:$B$85,0),MATCH($BC$77,$A$78:$H$78,0))*고양시_Modal_split!D$3 * 0.01</f>
        <v>5.4737799133143094E-3</v>
      </c>
      <c r="BE81" s="207">
        <f>INDEX($A$78:$H$85,MATCH($L81,$B$78:$B$85,0),MATCH($BC$77,$A$78:$H$78,0))*고양시_Modal_split!E$3 * 0.01</f>
        <v>6.6225404437079364E-4</v>
      </c>
      <c r="BF81" s="207">
        <f>INDEX($A$78:$H$85,MATCH($L81,$B$78:$B$85,0),MATCH($BC$77,$A$78:$H$78,0))*고양시_Modal_split!F$3 * 0.01</f>
        <v>1.0672881523515251E-3</v>
      </c>
      <c r="BG81" s="207">
        <f>INDEX($A$78:$H$85,MATCH($L81,$B$78:$B$85,0),MATCH($BC$77,$A$78:$H$78,0))*고양시_Modal_split!G$3 * 0.01</f>
        <v>1.0707798256961865E-4</v>
      </c>
      <c r="BH81" s="207">
        <f>INDEX($A$78:$H$85,MATCH($L81,$B$78:$B$85,0),MATCH($BC$77,$A$78:$H$78,0))*고양시_Modal_split!H$3 * 0.01</f>
        <v>1.1638911148871592E-6</v>
      </c>
      <c r="BI81" s="207">
        <f>INDEX($A$78:$H$85,MATCH($L81,$B$78:$B$85,0),MATCH($BC$77,$A$78:$H$78,0))*고양시_Modal_split!I$3 * 0.01</f>
        <v>3.2356172993863025E-4</v>
      </c>
      <c r="BJ81" s="207">
        <f>INDEX($A$78:$H$85,MATCH($L81,$B$78:$B$85,0),MATCH($BC$77,$A$78:$H$78,0))*고양시_Modal_split!J$3 * 0.01</f>
        <v>3.5428845537165128E-3</v>
      </c>
      <c r="BK81" s="207">
        <f>INDEX($A$78:$H$85,MATCH($L81,$B$78:$B$85,0),MATCH($BC$77,$A$78:$H$78,0))*고양시_Modal_split!K$3 * 0.01</f>
        <v>1.7458366723307389E-5</v>
      </c>
      <c r="BL81" s="207">
        <f>INDEX($A$78:$H$85,MATCH($L81,$B$78:$B$85,0),MATCH($BC$77,$A$78:$H$78,0))*고양시_Modal_split!L$3 * 0.01</f>
        <v>3.5149511669592209E-4</v>
      </c>
      <c r="BM81" s="207">
        <f>INDEX($A$78:$H$85,MATCH($L81,$B$78:$B$85,0),MATCH($BC$77,$A$78:$H$78,0))*고양시_Modal_split!M$3 * 0.01</f>
        <v>2.6769495642404663E-5</v>
      </c>
      <c r="BN81" s="207">
        <f>INDEX($A$78:$H$85,MATCH($L81,$B$78:$B$85,0),MATCH($BC$77,$A$78:$H$78,0))*고양시_Modal_split!N$3 * 0.01</f>
        <v>1.1638911148871593E-5</v>
      </c>
      <c r="BO81" s="207">
        <f>INDEX($A$78:$H$85,MATCH($L81,$B$78:$B$85,0),MATCH($BC$77,$A$78:$H$78,0))*고양시_Modal_split!O$3 * 0.01</f>
        <v>2.0950040067968865E-5</v>
      </c>
      <c r="BP81" s="207">
        <f>INDEX($A$78:$H$85,MATCH($L81,$B$78:$B$85,0),MATCH($BC$77,$A$78:$H$78,0))*고양시_Modal_split!P$3 * 0.01</f>
        <v>1.1638911148871592E-2</v>
      </c>
      <c r="BQ81" s="207">
        <f>INDEX($A$78:$H$85,MATCH($L38,$B$78:$B$85,0),MATCH($BQ$77,$A$78:$H$78,0))*고양시_Modal_split!C$3 * 0.01</f>
        <v>1.2311381570806354E-4</v>
      </c>
      <c r="BR81" s="207">
        <f>INDEX($A$78:$H$85,MATCH($L38,$B$78:$B$85,0),MATCH($BQ$77,$A$78:$H$78,0))*고양시_Modal_split!D$3 * 0.01</f>
        <v>2.0678724116965107E-2</v>
      </c>
      <c r="BS81" s="207">
        <f>INDEX($A$78:$H$85,MATCH($L38,$B$78:$B$85,0),MATCH($BQ$77,$A$78:$H$78,0))*고양시_Modal_split!E$3 * 0.01</f>
        <v>2.5018486120674346E-3</v>
      </c>
      <c r="BT81" s="207">
        <f>INDEX($A$78:$H$85,MATCH($L38,$B$78:$B$85,0),MATCH($BQ$77,$A$78:$H$78,0))*고양시_Modal_split!F$3 * 0.01</f>
        <v>4.0319774644390818E-3</v>
      </c>
      <c r="BU81" s="207">
        <f>INDEX($A$78:$H$85,MATCH($L38,$B$78:$B$85,0),MATCH($BQ$77,$A$78:$H$78,0))*고양시_Modal_split!G$3 * 0.01</f>
        <v>4.0451682304078028E-4</v>
      </c>
      <c r="BV81" s="207">
        <f>INDEX($A$78:$H$85,MATCH($L38,$B$78:$B$85,0),MATCH($BQ$77,$A$78:$H$78,0))*고양시_Modal_split!H$3 * 0.01</f>
        <v>4.396921989573699E-6</v>
      </c>
      <c r="BW81" s="207">
        <f>INDEX($A$78:$H$85,MATCH($L38,$B$78:$B$85,0),MATCH($BQ$77,$A$78:$H$78,0))*고양시_Modal_split!I$3 * 0.01</f>
        <v>1.2223443131014881E-3</v>
      </c>
      <c r="BX81" s="207">
        <f>INDEX($A$78:$H$85,MATCH($L38,$B$78:$B$85,0),MATCH($BQ$77,$A$78:$H$78,0))*고양시_Modal_split!J$3 * 0.01</f>
        <v>1.3384230536262341E-2</v>
      </c>
      <c r="BY81" s="207">
        <f>INDEX($A$78:$H$85,MATCH($L38,$B$78:$B$85,0),MATCH($BQ$77,$A$78:$H$78,0))*고양시_Modal_split!K$3 * 0.01</f>
        <v>6.5953829843605491E-5</v>
      </c>
      <c r="BZ81" s="207">
        <f>INDEX($A$78:$H$85,MATCH($L38,$B$78:$B$85,0),MATCH($BQ$77,$A$78:$H$78,0))*고양시_Modal_split!L$3 * 0.01</f>
        <v>1.3278704408512571E-3</v>
      </c>
      <c r="CA81" s="207">
        <f>INDEX($A$78:$H$85,MATCH($L38,$B$78:$B$85,0),MATCH($BQ$77,$A$78:$H$78,0))*고양시_Modal_split!M$3 * 0.01</f>
        <v>1.0112920576019507E-4</v>
      </c>
      <c r="CB81" s="207">
        <f>INDEX($A$78:$H$85,MATCH($L38,$B$78:$B$85,0),MATCH($BQ$77,$A$78:$H$78,0))*고양시_Modal_split!N$3 * 0.01</f>
        <v>4.3969219895736987E-5</v>
      </c>
      <c r="CC81" s="207">
        <f>INDEX($A$78:$H$85,MATCH($L38,$B$78:$B$85,0),MATCH($BQ$77,$A$78:$H$78,0))*고양시_Modal_split!O$3 * 0.01</f>
        <v>7.9144595812326586E-5</v>
      </c>
      <c r="CD81" s="207">
        <f>INDEX($A$78:$H$85,MATCH($L38,$B$78:$B$85,0),MATCH($BQ$77,$A$78:$H$78,0))*고양시_Modal_split!P$3 * 0.01</f>
        <v>4.3969219895736981E-2</v>
      </c>
      <c r="CE81" s="304">
        <f t="shared" si="21"/>
        <v>0.43232502684260371</v>
      </c>
      <c r="CF81" s="304">
        <f t="shared" si="17"/>
        <v>72.615164330027326</v>
      </c>
      <c r="CG81" s="304">
        <f t="shared" si="17"/>
        <v>8.7854621526229124</v>
      </c>
      <c r="CH81" s="304">
        <f t="shared" si="17"/>
        <v>14.158644629095274</v>
      </c>
      <c r="CI81" s="304">
        <f t="shared" si="17"/>
        <v>1.420496516768555</v>
      </c>
      <c r="CJ81" s="304">
        <f t="shared" si="17"/>
        <v>1.544017953009299E-2</v>
      </c>
      <c r="CK81" s="304">
        <f t="shared" si="17"/>
        <v>4.2923699093658527</v>
      </c>
      <c r="CL81" s="304">
        <f t="shared" si="17"/>
        <v>46.99990648960307</v>
      </c>
      <c r="CM81" s="304">
        <f t="shared" si="17"/>
        <v>0.23160269295139482</v>
      </c>
      <c r="CN81" s="304">
        <f t="shared" si="17"/>
        <v>4.6629342180880844</v>
      </c>
      <c r="CO81" s="304">
        <f t="shared" si="17"/>
        <v>0.35512412919213876</v>
      </c>
      <c r="CP81" s="304">
        <f t="shared" si="17"/>
        <v>0.1544017953009299</v>
      </c>
      <c r="CQ81" s="304">
        <f t="shared" si="17"/>
        <v>0.27792323154167381</v>
      </c>
      <c r="CR81" s="304">
        <f t="shared" si="17"/>
        <v>154.4017953009299</v>
      </c>
      <c r="CS81" s="305">
        <f t="shared" si="22"/>
        <v>0</v>
      </c>
      <c r="CV81" s="265"/>
      <c r="CW81" s="265" t="s">
        <v>714</v>
      </c>
      <c r="CX81" s="267">
        <f>INDEX($M$77:$Z$85,MATCH($CW81,$L$77:$L$85,0),MATCH(CX$78,$M$78:$Z$78,0))/INDEX(고양시_재차인원!$D$4:$H$35,MATCH("고양시",고양시_재차인원!$B$4:$B$35,0),MATCH($CX$77,고양시_재차인원!$D$4:$H$4,0))</f>
        <v>7.4906071551842377</v>
      </c>
      <c r="CY81" s="267">
        <f>INDEX($M$77:$Z$85,MATCH($CW81,$L$77:$L$85,0),MATCH(CY$78,$M$78:$Z$78,0))/INDEX(고양시_재차인원!$K$4:$O$20,MATCH("경기도",고양시_재차인원!$K$4:$K$20,0),MATCH(CY$78,고양시_재차인원!$K$4:$O$4,0))</f>
        <v>6.1960997409414443E-5</v>
      </c>
      <c r="CZ81" s="267">
        <f>INDEX($M$77:$Z$85,MATCH($CW81,$L$77:$L$85,0),MATCH(CZ$78,$M$78:$Z$78,0))/INDEX(고양시_재차인원!$K$4:$O$20,MATCH("경기도",고양시_재차인원!$K$4:$K$20,0),MATCH(CZ$78,고양시_재차인원!$K$4:$O$4,0))</f>
        <v>1.7225157279817212E-2</v>
      </c>
      <c r="DA81" s="267">
        <f>INDEX($M$77:$Z$85,MATCH($CW81,$L$77:$L$85,0),MATCH(DA$78,$M$78:$Z$78,0))/INDEX(고양시_재차인원!$D$4:$H$35,MATCH("고양시",고양시_재차인원!$B$4:$B$35,0),MATCH($CX$77,고양시_재차인원!$D$4:$H$4,0))</f>
        <v>0.48100432933566656</v>
      </c>
      <c r="DB81" s="267">
        <f>INDEX($AA$77:$AN$85,MATCH($CW81,$L$77:$L$85,0),MATCH(DB$78,$AA$78:$AN$78,0))/INDEX(고양시_재차인원!$D$4:$H$35,MATCH("고양시",고양시_재차인원!$B$4:$B$35,0),MATCH($DB$77,고양시_재차인원!$D$4:$H$4,0))</f>
        <v>43.061264676608786</v>
      </c>
      <c r="DC81" s="267">
        <f>INDEX($AA$77:$AN$85,MATCH($CW81,$L$77:$L$85,0),MATCH(DC$78,$AA$78:$AN$78,0))/INDEX(고양시_재차인원!$K$4:$O$20,MATCH("경기도",고양시_재차인원!$K$4:$K$20,0),MATCH(DC$78,고양시_재차인원!$K$4:$O$4,0))</f>
        <v>4.4842441433825273E-4</v>
      </c>
      <c r="DD81" s="267">
        <f>INDEX($AA$77:$AN$85,MATCH($CW81,$L$77:$L$85,0),MATCH(DD$78,$AA$78:$AN$78,0))/INDEX(고양시_재차인원!$K$4:$O$20,MATCH("경기도",고양시_재차인원!$K$4:$K$20,0),MATCH(DD$78,고양시_재차인원!$K$4:$O$4,0))</f>
        <v>0.12466198718603426</v>
      </c>
      <c r="DE81" s="267">
        <f>INDEX($AA$77:$AN$85,MATCH($CW81,$L$77:$L$85,0),MATCH(DE$78,$AA$78:$AN$78,0))/INDEX(고양시_재차인원!$D$4:$H$35,MATCH("고양시",고양시_재차인원!$B$4:$B$35,0),MATCH($DB$77,고양시_재차인원!$D$4:$H$4,0))</f>
        <v>2.7651503151894223</v>
      </c>
      <c r="DF81" s="267">
        <f>INDEX($AO$77:$BB$85,MATCH($CW81,$L$77:$L$85,0),MATCH(DF$78,$AO$78:$BB$78,0))/INDEX(고양시_재차인원!$D$4:$H$35,MATCH("고양시",고양시_재차인원!$B$4:$B$35,0),MATCH($DF$77,고양시_재차인원!$D$4:$H$4,0))</f>
        <v>2.6793450909017906</v>
      </c>
      <c r="DG81" s="267">
        <f>INDEX($AO$77:$BB$85,MATCH($CW81,$L$77:$L$85,0),MATCH(DG$78,$AO$78:$BB$78,0))/INDEX(고양시_재차인원!$K$4:$O$20,MATCH("경기도",고양시_재차인원!$K$4:$K$20,0),MATCH(DG$78,고양시_재차인원!$K$4:$O$4,0))</f>
        <v>2.5724998706953569E-5</v>
      </c>
      <c r="DH81" s="267">
        <f>INDEX($AO$77:$BB$85,MATCH($CW81,$L$77:$L$85,0),MATCH(DH$78,$AO$78:$BB$78,0))/INDEX(고양시_재차인원!$K$4:$O$20,MATCH("경기도",고양시_재차인원!$K$4:$K$20,0),MATCH(DH$78,고양시_재차인원!$K$4:$O$4,0))</f>
        <v>7.1515496405330911E-3</v>
      </c>
      <c r="DI81" s="267">
        <f>INDEX($AO$77:$BB$85,MATCH($CW81,$L$77:$L$85,0),MATCH(DI$78,$AO$78:$BB$78,0))/INDEX(고양시_재차인원!$D$4:$H$35,MATCH("고양시",고양시_재차인원!$B$4:$B$35,0),MATCH($DF$77,고양시_재차인원!$D$4:$H$4,0))</f>
        <v>0.17205235327500334</v>
      </c>
      <c r="DJ81" s="267">
        <f>INDEX($BC$77:$BP$85,MATCH($CW81,$L$77:$L$85,0),MATCH(DJ$78,$BC$78:$BP$78,0))/INDEX(고양시_재차인원!$D$4:$H$35,MATCH("고양시",고양시_재차인원!$B$4:$B$35,0),MATCH($DJ$77,고양시_재차인원!$D$4:$H$4,0))</f>
        <v>4.0248381715546388E-3</v>
      </c>
      <c r="DK81" s="267">
        <f>INDEX($BC$77:$BP$85,MATCH($CW81,$L$77:$L$85,0),MATCH(DK$78,$BC$78:$BP$78,0))/INDEX(고양시_재차인원!$K$4:$O$20,MATCH("경기도",고양시_재차인원!$K$4:$K$20,0),MATCH(DK$78,고양시_재차인원!$K$4:$O$4,0))</f>
        <v>4.0426923059644295E-8</v>
      </c>
      <c r="DL81" s="267">
        <f>INDEX($BC$77:$BP$85,MATCH($CW81,$L$77:$L$85,0),MATCH(DL$78,$BC$78:$BP$78,0))/INDEX(고양시_재차인원!$K$4:$O$20,MATCH("경기도",고양시_재차인원!$K$4:$K$20,0),MATCH(DL$78,고양시_재차인원!$K$4:$O$4,0))</f>
        <v>1.1238684610581114E-5</v>
      </c>
      <c r="DM81" s="267">
        <f>INDEX($BC$77:$BP$85,MATCH($CW81,$L$77:$L$85,0),MATCH(DM$78,$BC$78:$BP$78,0))/INDEX(고양시_재차인원!$D$4:$H$35,MATCH("고양시",고양시_재차인원!$B$4:$B$35,0),MATCH($DJ$77,고양시_재차인원!$D$4:$H$4,0))</f>
        <v>2.58452291688178E-4</v>
      </c>
      <c r="DN81" s="267">
        <f>INDEX($BQ$77:$CD$85,MATCH($CW81,$L$77:$L$85,0),MATCH(DN$78,$BQ$78:$CD$78,0))/INDEX(고양시_재차인원!$D$4:$H$35,MATCH("고양시",고양시_재차인원!$B$4:$B$35,0),MATCH($DN$77,고양시_재차인원!$D$4:$H$4,0))</f>
        <v>1.6411685807115165E-2</v>
      </c>
      <c r="DO81" s="267">
        <f>INDEX($BQ$77:$CD$85,MATCH($CW81,$L$77:$L$85,0),MATCH(DO$78,$BQ$78:$CD$78,0))/INDEX(고양시_재차인원!$K$4:$O$20,MATCH("경기도",고양시_재차인원!$K$4:$K$20,0),MATCH(DO$78,고양시_재차인원!$K$4:$O$4,0))</f>
        <v>1.5272393155865576E-7</v>
      </c>
      <c r="DP81" s="267">
        <f>INDEX($BQ$77:$CD$85,MATCH($CW81,$L$77:$L$85,0),MATCH(DP$78,$BQ$78:$CD$78,0))/INDEX(고양시_재차인원!$K$4:$O$20,MATCH("경기도",고양시_재차인원!$K$4:$K$20,0),MATCH(DP$78,고양시_재차인원!$K$4:$O$4,0))</f>
        <v>4.2457252973306294E-5</v>
      </c>
      <c r="DQ81" s="267">
        <f>INDEX($BQ$77:$CD$85,MATCH($CW81,$L$77:$L$85,0),MATCH(DQ$78,$BQ$78:$CD$78,0))/INDEX(고양시_재차인원!$D$4:$H$35,MATCH("고양시",고양시_재차인원!$B$4:$B$35,0),MATCH($DN$77,고양시_재차인원!$D$4:$H$4,0))</f>
        <v>1.0538654292470294E-3</v>
      </c>
      <c r="DR81" s="270">
        <f t="shared" si="23"/>
        <v>53.25165344667348</v>
      </c>
      <c r="DS81" s="270">
        <f t="shared" si="18"/>
        <v>5.3630356130923902E-4</v>
      </c>
      <c r="DT81" s="270">
        <f t="shared" si="18"/>
        <v>0.14909239004396843</v>
      </c>
      <c r="DU81" s="270">
        <f t="shared" si="18"/>
        <v>3.4195193155210277</v>
      </c>
      <c r="DW81" s="278"/>
      <c r="DX81" s="278" t="s">
        <v>714</v>
      </c>
      <c r="DY81" s="281">
        <f t="shared" si="24"/>
        <v>56.671172762194509</v>
      </c>
      <c r="DZ81" s="281">
        <f t="shared" si="25"/>
        <v>0.14962869360527767</v>
      </c>
      <c r="EB81" s="278"/>
      <c r="EC81" s="278" t="s">
        <v>669</v>
      </c>
      <c r="ED81" s="281">
        <f t="shared" si="26"/>
        <v>56.671172762194509</v>
      </c>
      <c r="EE81" s="281">
        <f t="shared" si="19"/>
        <v>0.14962869360527767</v>
      </c>
      <c r="FE81" t="s">
        <v>12</v>
      </c>
      <c r="FF81" t="s">
        <v>610</v>
      </c>
      <c r="FG81">
        <v>5231.5074000000004</v>
      </c>
      <c r="FH81" s="277" t="e">
        <f t="shared" si="27"/>
        <v>#DIV/0!</v>
      </c>
    </row>
    <row r="82" spans="1:164" ht="37.5">
      <c r="A82" s="205"/>
      <c r="B82" s="205" t="s">
        <v>718</v>
      </c>
      <c r="C82" s="400">
        <f>$D11*KTDB_TripDistribution_2040!T$12 * (1+KTDB_발생량도착량_증가율!$C$7) * (1+KTDB_발생량도착량_증가율!$D$8*5) * (1+KTDB_발생량도착량_증가율!$E$8*5) * (1+KTDB_발생량도착량_증가율!$F$8*5)</f>
        <v>0</v>
      </c>
      <c r="D82" s="400">
        <f>$D11*KTDB_TripDistribution_2040!U$12 * (1+KTDB_발생량도착량_증가율!$C$7) * (1+KTDB_발생량도착량_증가율!$D$8*5) * (1+KTDB_발생량도착량_증가율!$E$8*5) * (1+KTDB_발생량도착량_증가율!$F$8*5)</f>
        <v>0</v>
      </c>
      <c r="E82" s="400">
        <f>$D11*KTDB_TripDistribution_2040!V$12 * (1+KTDB_발생량도착량_증가율!$C$7) * (1+KTDB_발생량도착량_증가율!$D$8*5) * (1+KTDB_발생량도착량_증가율!$E$8*5) * (1+KTDB_발생량도착량_증가율!$F$8*5)</f>
        <v>0</v>
      </c>
      <c r="F82" s="400">
        <f>$D11*KTDB_TripDistribution_2040!W$12 * (1+KTDB_발생량도착량_증가율!$C$7) * (1+KTDB_발생량도착량_증가율!$D$8*5) * (1+KTDB_발생량도착량_증가율!$E$8*5) * (1+KTDB_발생량도착량_증가율!$F$8*5)</f>
        <v>0</v>
      </c>
      <c r="G82" s="400">
        <f>$D11*KTDB_TripDistribution_2040!X$12 * (1+KTDB_발생량도착량_증가율!$C$7) * (1+KTDB_발생량도착량_증가율!$D$8*5) * (1+KTDB_발생량도착량_증가율!$E$8*5) * (1+KTDB_발생량도착량_증가율!$F$8*5)</f>
        <v>0</v>
      </c>
      <c r="H82" s="400">
        <f>$D11*KTDB_TripDistribution_2040!Y$12 * (1+KTDB_발생량도착량_증가율!$C$7) * (1+KTDB_발생량도착량_증가율!$D$8*5) * (1+KTDB_발생량도착량_증가율!$E$8*5) * (1+KTDB_발생량도착량_증가율!$F$8*5)</f>
        <v>0</v>
      </c>
      <c r="J82" s="230">
        <f t="shared" si="16"/>
        <v>0</v>
      </c>
      <c r="K82" s="206"/>
      <c r="L82" s="206" t="s">
        <v>718</v>
      </c>
      <c r="M82" s="206">
        <f>INDEX($A$78:$H$85,MATCH($L82,$B$78:$B$85,0),MATCH($M$77,$A$78:$H$78,0))*고양시_Modal_split!C$3 * 0.01</f>
        <v>0</v>
      </c>
      <c r="N82" s="206">
        <f>INDEX($A$78:$H$85,MATCH($L82,$B$78:$B$85,0),MATCH($M$77,$A$78:$H$78,0))*고양시_Modal_split!D$3 * 0.01</f>
        <v>0</v>
      </c>
      <c r="O82" s="206">
        <f>INDEX($A$78:$H$85,MATCH($L82,$B$78:$B$85,0),MATCH($M$77,$A$78:$H$78,0))*고양시_Modal_split!E$3 * 0.01</f>
        <v>0</v>
      </c>
      <c r="P82" s="206">
        <f>INDEX($A$78:$H$85,MATCH($L82,$B$78:$B$85,0),MATCH($M$77,$A$78:$H$78,0))*고양시_Modal_split!F$3 * 0.01</f>
        <v>0</v>
      </c>
      <c r="Q82" s="206">
        <f>INDEX($A$78:$H$85,MATCH($L82,$B$78:$B$85,0),MATCH($M$77,$A$78:$H$78,0))*고양시_Modal_split!G$3 * 0.01</f>
        <v>0</v>
      </c>
      <c r="R82" s="206">
        <f>INDEX($A$78:$H$85,MATCH($L82,$B$78:$B$85,0),MATCH($M$77,$A$78:$H$78,0))*고양시_Modal_split!H$3 * 0.01</f>
        <v>0</v>
      </c>
      <c r="S82" s="206">
        <f>INDEX($A$78:$H$85,MATCH($L82,$B$78:$B$85,0),MATCH($M$77,$A$78:$H$78,0))*고양시_Modal_split!I$3 * 0.01</f>
        <v>0</v>
      </c>
      <c r="T82" s="206">
        <f>INDEX($A$78:$H$85,MATCH($L82,$B$78:$B$85,0),MATCH($M$77,$A$78:$H$78,0))*고양시_Modal_split!J$3 * 0.01</f>
        <v>0</v>
      </c>
      <c r="U82" s="206">
        <f>INDEX($A$78:$H$85,MATCH($L82,$B$78:$B$85,0),MATCH($M$77,$A$78:$H$78,0))*고양시_Modal_split!K$3 * 0.01</f>
        <v>0</v>
      </c>
      <c r="V82" s="206">
        <f>INDEX($A$78:$H$85,MATCH($L82,$B$78:$B$85,0),MATCH($M$77,$A$78:$H$78,0))*고양시_Modal_split!L$3 * 0.01</f>
        <v>0</v>
      </c>
      <c r="W82" s="206">
        <f>INDEX($A$78:$H$85,MATCH($L82,$B$78:$B$85,0),MATCH($M$77,$A$78:$H$78,0))*고양시_Modal_split!M$3 * 0.01</f>
        <v>0</v>
      </c>
      <c r="X82" s="206">
        <f>INDEX($A$78:$H$85,MATCH($L82,$B$78:$B$85,0),MATCH($M$77,$A$78:$H$78,0))*고양시_Modal_split!N$3 * 0.01</f>
        <v>0</v>
      </c>
      <c r="Y82" s="206">
        <f>INDEX($A$78:$H$85,MATCH($L82,$B$78:$B$85,0),MATCH($M$77,$A$78:$H$78,0))*고양시_Modal_split!O$3 * 0.01</f>
        <v>0</v>
      </c>
      <c r="Z82" s="209">
        <f>INDEX($A$78:$H$85,MATCH($L82,$B$78:$B$85,0),MATCH($M$77,$A$78:$H$78,0))*고양시_Modal_split!P$3 * 0.01</f>
        <v>0</v>
      </c>
      <c r="AA82" s="207">
        <f>INDEX($A$78:$H$85,MATCH($L82,$B$78:$B$85,0),MATCH($AA$77,$A$78:$H$78,0))*고양시_Modal_split!C$3 * 0.01</f>
        <v>0</v>
      </c>
      <c r="AB82" s="207">
        <f>INDEX($A$78:$H$85,MATCH($L82,$B$78:$B$85,0),MATCH($AA$77,$A$78:$H$78,0))*고양시_Modal_split!D$3 * 0.01</f>
        <v>0</v>
      </c>
      <c r="AC82" s="207">
        <f>INDEX($A$78:$H$85,MATCH($L82,$B$78:$B$85,0),MATCH($AA$77,$A$78:$H$78,0))*고양시_Modal_split!E$3 * 0.01</f>
        <v>0</v>
      </c>
      <c r="AD82" s="207">
        <f>INDEX($A$78:$H$85,MATCH($L82,$B$78:$B$85,0),MATCH($AA$77,$A$78:$H$78,0))*고양시_Modal_split!F$3 * 0.01</f>
        <v>0</v>
      </c>
      <c r="AE82" s="207">
        <f>INDEX($A$78:$H$85,MATCH($L82,$B$78:$B$85,0),MATCH($AA$77,$A$78:$H$78,0))*고양시_Modal_split!G$3 * 0.01</f>
        <v>0</v>
      </c>
      <c r="AF82" s="207">
        <f>INDEX($A$78:$H$85,MATCH($L82,$B$78:$B$85,0),MATCH($AA$77,$A$78:$H$78,0))*고양시_Modal_split!H$3 * 0.01</f>
        <v>0</v>
      </c>
      <c r="AG82" s="207">
        <f>INDEX($A$78:$H$85,MATCH($L82,$B$78:$B$85,0),MATCH($AA$77,$A$78:$H$78,0))*고양시_Modal_split!I$3 * 0.01</f>
        <v>0</v>
      </c>
      <c r="AH82" s="207">
        <f>INDEX($A$78:$H$85,MATCH($L82,$B$78:$B$85,0),MATCH($AA$77,$A$78:$H$78,0))*고양시_Modal_split!J$3 * 0.01</f>
        <v>0</v>
      </c>
      <c r="AI82" s="207">
        <f>INDEX($A$78:$H$85,MATCH($L82,$B$78:$B$85,0),MATCH($AA$77,$A$78:$H$78,0))*고양시_Modal_split!K$3 * 0.01</f>
        <v>0</v>
      </c>
      <c r="AJ82" s="207">
        <f>INDEX($A$78:$H$85,MATCH($L82,$B$78:$B$85,0),MATCH($AA$77,$A$78:$H$78,0))*고양시_Modal_split!L$3 * 0.01</f>
        <v>0</v>
      </c>
      <c r="AK82" s="207">
        <f>INDEX($A$78:$H$85,MATCH($L82,$B$78:$B$85,0),MATCH($AA$77,$A$78:$H$78,0))*고양시_Modal_split!M$3 * 0.01</f>
        <v>0</v>
      </c>
      <c r="AL82" s="207">
        <f>INDEX($A$78:$H$85,MATCH($L82,$B$78:$B$85,0),MATCH($AA$77,$A$78:$H$78,0))*고양시_Modal_split!N$3 * 0.01</f>
        <v>0</v>
      </c>
      <c r="AM82" s="207">
        <f>INDEX($A$78:$H$85,MATCH($L82,$B$78:$B$85,0),MATCH($AA$77,$A$78:$H$78,0))*고양시_Modal_split!O$3 * 0.01</f>
        <v>0</v>
      </c>
      <c r="AN82" s="207">
        <f>INDEX($A$78:$H$85,MATCH($L82,$B$78:$B$85,0),MATCH($AA$77,$A$78:$H$78,0))*고양시_Modal_split!P$3 * 0.01</f>
        <v>0</v>
      </c>
      <c r="AO82" s="303">
        <f>INDEX($A$78:$H$85,MATCH($L39,$B$78:$B$85,0),MATCH($AO$77,$A$78:$H$78,0))*고양시_Modal_split!C$3 * 0.01</f>
        <v>0</v>
      </c>
      <c r="AP82" s="303">
        <f>INDEX($A$78:$H$85,MATCH($L39,$B$78:$B$85,0),MATCH($AO$77,$A$78:$H$78,0))*고양시_Modal_split!D$3 * 0.01</f>
        <v>0</v>
      </c>
      <c r="AQ82" s="303">
        <f>INDEX($A$78:$H$85,MATCH($L39,$B$78:$B$85,0),MATCH($AO$77,$A$78:$H$78,0))*고양시_Modal_split!E$3 * 0.01</f>
        <v>0</v>
      </c>
      <c r="AR82" s="303">
        <f>INDEX($A$78:$H$85,MATCH($L39,$B$78:$B$85,0),MATCH($AO$77,$A$78:$H$78,0))*고양시_Modal_split!F$3 * 0.01</f>
        <v>0</v>
      </c>
      <c r="AS82" s="303">
        <f>INDEX($A$78:$H$85,MATCH($L39,$B$78:$B$85,0),MATCH($AO$77,$A$78:$H$78,0))*고양시_Modal_split!G$3 * 0.01</f>
        <v>0</v>
      </c>
      <c r="AT82" s="303">
        <f>INDEX($A$78:$H$85,MATCH($L39,$B$78:$B$85,0),MATCH($AO$77,$A$78:$H$78,0))*고양시_Modal_split!H$3 * 0.01</f>
        <v>0</v>
      </c>
      <c r="AU82" s="303">
        <f>INDEX($A$78:$H$85,MATCH($L39,$B$78:$B$85,0),MATCH($AO$77,$A$78:$H$78,0))*고양시_Modal_split!I$3 * 0.01</f>
        <v>0</v>
      </c>
      <c r="AV82" s="303">
        <f>INDEX($A$78:$H$85,MATCH($L39,$B$78:$B$85,0),MATCH($AO$77,$A$78:$H$78,0))*고양시_Modal_split!J$3 * 0.01</f>
        <v>0</v>
      </c>
      <c r="AW82" s="303">
        <f>INDEX($A$78:$H$85,MATCH($L39,$B$78:$B$85,0),MATCH($AO$77,$A$78:$H$78,0))*고양시_Modal_split!K$3 * 0.01</f>
        <v>0</v>
      </c>
      <c r="AX82" s="303">
        <f>INDEX($A$78:$H$85,MATCH($L39,$B$78:$B$85,0),MATCH($AO$77,$A$78:$H$78,0))*고양시_Modal_split!L$3 * 0.01</f>
        <v>0</v>
      </c>
      <c r="AY82" s="303">
        <f>INDEX($A$78:$H$85,MATCH($L39,$B$78:$B$85,0),MATCH($AO$77,$A$78:$H$78,0))*고양시_Modal_split!M$3 * 0.01</f>
        <v>0</v>
      </c>
      <c r="AZ82" s="303">
        <f>INDEX($A$78:$H$85,MATCH($L39,$B$78:$B$85,0),MATCH($AO$77,$A$78:$H$78,0))*고양시_Modal_split!N$3 * 0.01</f>
        <v>0</v>
      </c>
      <c r="BA82" s="207">
        <f>INDEX($A$78:$H$85,MATCH($L39,$B$78:$B$85,0),MATCH($AO$77,$A$78:$H$78,0))*고양시_Modal_split!O$3 * 0.01</f>
        <v>0</v>
      </c>
      <c r="BB82" s="207">
        <f>INDEX($A$78:$H$85,MATCH($L39,$B$78:$B$85,0),MATCH($AO$77,$A$78:$H$78,0))*고양시_Modal_split!P$3 * 0.01</f>
        <v>0</v>
      </c>
      <c r="BC82" s="207">
        <f>INDEX($A$78:$H$85,MATCH($L82,$B$78:$B$85,0),MATCH($BC$77,$A$78:$H$78,0))*고양시_Modal_split!C$3 * 0.01</f>
        <v>0</v>
      </c>
      <c r="BD82" s="207">
        <f>INDEX($A$78:$H$85,MATCH($L82,$B$78:$B$85,0),MATCH($BC$77,$A$78:$H$78,0))*고양시_Modal_split!D$3 * 0.01</f>
        <v>0</v>
      </c>
      <c r="BE82" s="207">
        <f>INDEX($A$78:$H$85,MATCH($L82,$B$78:$B$85,0),MATCH($BC$77,$A$78:$H$78,0))*고양시_Modal_split!E$3 * 0.01</f>
        <v>0</v>
      </c>
      <c r="BF82" s="207">
        <f>INDEX($A$78:$H$85,MATCH($L82,$B$78:$B$85,0),MATCH($BC$77,$A$78:$H$78,0))*고양시_Modal_split!F$3 * 0.01</f>
        <v>0</v>
      </c>
      <c r="BG82" s="207">
        <f>INDEX($A$78:$H$85,MATCH($L82,$B$78:$B$85,0),MATCH($BC$77,$A$78:$H$78,0))*고양시_Modal_split!G$3 * 0.01</f>
        <v>0</v>
      </c>
      <c r="BH82" s="207">
        <f>INDEX($A$78:$H$85,MATCH($L82,$B$78:$B$85,0),MATCH($BC$77,$A$78:$H$78,0))*고양시_Modal_split!H$3 * 0.01</f>
        <v>0</v>
      </c>
      <c r="BI82" s="207">
        <f>INDEX($A$78:$H$85,MATCH($L82,$B$78:$B$85,0),MATCH($BC$77,$A$78:$H$78,0))*고양시_Modal_split!I$3 * 0.01</f>
        <v>0</v>
      </c>
      <c r="BJ82" s="207">
        <f>INDEX($A$78:$H$85,MATCH($L82,$B$78:$B$85,0),MATCH($BC$77,$A$78:$H$78,0))*고양시_Modal_split!J$3 * 0.01</f>
        <v>0</v>
      </c>
      <c r="BK82" s="207">
        <f>INDEX($A$78:$H$85,MATCH($L82,$B$78:$B$85,0),MATCH($BC$77,$A$78:$H$78,0))*고양시_Modal_split!K$3 * 0.01</f>
        <v>0</v>
      </c>
      <c r="BL82" s="207">
        <f>INDEX($A$78:$H$85,MATCH($L82,$B$78:$B$85,0),MATCH($BC$77,$A$78:$H$78,0))*고양시_Modal_split!L$3 * 0.01</f>
        <v>0</v>
      </c>
      <c r="BM82" s="207">
        <f>INDEX($A$78:$H$85,MATCH($L82,$B$78:$B$85,0),MATCH($BC$77,$A$78:$H$78,0))*고양시_Modal_split!M$3 * 0.01</f>
        <v>0</v>
      </c>
      <c r="BN82" s="207">
        <f>INDEX($A$78:$H$85,MATCH($L82,$B$78:$B$85,0),MATCH($BC$77,$A$78:$H$78,0))*고양시_Modal_split!N$3 * 0.01</f>
        <v>0</v>
      </c>
      <c r="BO82" s="207">
        <f>INDEX($A$78:$H$85,MATCH($L82,$B$78:$B$85,0),MATCH($BC$77,$A$78:$H$78,0))*고양시_Modal_split!O$3 * 0.01</f>
        <v>0</v>
      </c>
      <c r="BP82" s="207">
        <f>INDEX($A$78:$H$85,MATCH($L82,$B$78:$B$85,0),MATCH($BC$77,$A$78:$H$78,0))*고양시_Modal_split!P$3 * 0.01</f>
        <v>0</v>
      </c>
      <c r="BQ82" s="207">
        <f>INDEX($A$78:$H$85,MATCH($L39,$B$78:$B$85,0),MATCH($BQ$77,$A$78:$H$78,0))*고양시_Modal_split!C$3 * 0.01</f>
        <v>0</v>
      </c>
      <c r="BR82" s="207">
        <f>INDEX($A$78:$H$85,MATCH($L39,$B$78:$B$85,0),MATCH($BQ$77,$A$78:$H$78,0))*고양시_Modal_split!D$3 * 0.01</f>
        <v>0</v>
      </c>
      <c r="BS82" s="207">
        <f>INDEX($A$78:$H$85,MATCH($L39,$B$78:$B$85,0),MATCH($BQ$77,$A$78:$H$78,0))*고양시_Modal_split!E$3 * 0.01</f>
        <v>0</v>
      </c>
      <c r="BT82" s="207">
        <f>INDEX($A$78:$H$85,MATCH($L39,$B$78:$B$85,0),MATCH($BQ$77,$A$78:$H$78,0))*고양시_Modal_split!F$3 * 0.01</f>
        <v>0</v>
      </c>
      <c r="BU82" s="207">
        <f>INDEX($A$78:$H$85,MATCH($L39,$B$78:$B$85,0),MATCH($BQ$77,$A$78:$H$78,0))*고양시_Modal_split!G$3 * 0.01</f>
        <v>0</v>
      </c>
      <c r="BV82" s="207">
        <f>INDEX($A$78:$H$85,MATCH($L39,$B$78:$B$85,0),MATCH($BQ$77,$A$78:$H$78,0))*고양시_Modal_split!H$3 * 0.01</f>
        <v>0</v>
      </c>
      <c r="BW82" s="207">
        <f>INDEX($A$78:$H$85,MATCH($L39,$B$78:$B$85,0),MATCH($BQ$77,$A$78:$H$78,0))*고양시_Modal_split!I$3 * 0.01</f>
        <v>0</v>
      </c>
      <c r="BX82" s="207">
        <f>INDEX($A$78:$H$85,MATCH($L39,$B$78:$B$85,0),MATCH($BQ$77,$A$78:$H$78,0))*고양시_Modal_split!J$3 * 0.01</f>
        <v>0</v>
      </c>
      <c r="BY82" s="207">
        <f>INDEX($A$78:$H$85,MATCH($L39,$B$78:$B$85,0),MATCH($BQ$77,$A$78:$H$78,0))*고양시_Modal_split!K$3 * 0.01</f>
        <v>0</v>
      </c>
      <c r="BZ82" s="207">
        <f>INDEX($A$78:$H$85,MATCH($L39,$B$78:$B$85,0),MATCH($BQ$77,$A$78:$H$78,0))*고양시_Modal_split!L$3 * 0.01</f>
        <v>0</v>
      </c>
      <c r="CA82" s="207">
        <f>INDEX($A$78:$H$85,MATCH($L39,$B$78:$B$85,0),MATCH($BQ$77,$A$78:$H$78,0))*고양시_Modal_split!M$3 * 0.01</f>
        <v>0</v>
      </c>
      <c r="CB82" s="207">
        <f>INDEX($A$78:$H$85,MATCH($L39,$B$78:$B$85,0),MATCH($BQ$77,$A$78:$H$78,0))*고양시_Modal_split!N$3 * 0.01</f>
        <v>0</v>
      </c>
      <c r="CC82" s="207">
        <f>INDEX($A$78:$H$85,MATCH($L39,$B$78:$B$85,0),MATCH($BQ$77,$A$78:$H$78,0))*고양시_Modal_split!O$3 * 0.01</f>
        <v>0</v>
      </c>
      <c r="CD82" s="207">
        <f>INDEX($A$78:$H$85,MATCH($L39,$B$78:$B$85,0),MATCH($BQ$77,$A$78:$H$78,0))*고양시_Modal_split!P$3 * 0.01</f>
        <v>0</v>
      </c>
      <c r="CE82" s="304">
        <f t="shared" si="21"/>
        <v>0</v>
      </c>
      <c r="CF82" s="304">
        <f t="shared" si="17"/>
        <v>0</v>
      </c>
      <c r="CG82" s="304">
        <f t="shared" si="17"/>
        <v>0</v>
      </c>
      <c r="CH82" s="304">
        <f t="shared" si="17"/>
        <v>0</v>
      </c>
      <c r="CI82" s="304">
        <f t="shared" si="17"/>
        <v>0</v>
      </c>
      <c r="CJ82" s="304">
        <f t="shared" si="17"/>
        <v>0</v>
      </c>
      <c r="CK82" s="304">
        <f t="shared" si="17"/>
        <v>0</v>
      </c>
      <c r="CL82" s="304">
        <f t="shared" si="17"/>
        <v>0</v>
      </c>
      <c r="CM82" s="304">
        <f t="shared" si="17"/>
        <v>0</v>
      </c>
      <c r="CN82" s="304">
        <f t="shared" si="17"/>
        <v>0</v>
      </c>
      <c r="CO82" s="304">
        <f t="shared" si="17"/>
        <v>0</v>
      </c>
      <c r="CP82" s="304">
        <f t="shared" si="17"/>
        <v>0</v>
      </c>
      <c r="CQ82" s="304">
        <f t="shared" si="17"/>
        <v>0</v>
      </c>
      <c r="CR82" s="304">
        <f t="shared" si="17"/>
        <v>0</v>
      </c>
      <c r="CS82" s="305">
        <f t="shared" si="22"/>
        <v>0</v>
      </c>
      <c r="CV82" s="265"/>
      <c r="CW82" s="265" t="s">
        <v>718</v>
      </c>
      <c r="CX82" s="267">
        <f>INDEX($M$77:$Z$85,MATCH($CW82,$L$77:$L$85,0),MATCH(CX$78,$M$78:$Z$78,0))/INDEX(고양시_재차인원!$D$4:$H$35,MATCH("고양시",고양시_재차인원!$B$4:$B$35,0),MATCH($CX$77,고양시_재차인원!$D$4:$H$4,0))</f>
        <v>0</v>
      </c>
      <c r="CY82" s="267">
        <f>INDEX($M$77:$Z$85,MATCH($CW82,$L$77:$L$85,0),MATCH(CY$78,$M$78:$Z$78,0))/INDEX(고양시_재차인원!$K$4:$O$20,MATCH("경기도",고양시_재차인원!$K$4:$K$20,0),MATCH(CY$78,고양시_재차인원!$K$4:$O$4,0))</f>
        <v>0</v>
      </c>
      <c r="CZ82" s="267">
        <f>INDEX($M$77:$Z$85,MATCH($CW82,$L$77:$L$85,0),MATCH(CZ$78,$M$78:$Z$78,0))/INDEX(고양시_재차인원!$K$4:$O$20,MATCH("경기도",고양시_재차인원!$K$4:$K$20,0),MATCH(CZ$78,고양시_재차인원!$K$4:$O$4,0))</f>
        <v>0</v>
      </c>
      <c r="DA82" s="267">
        <f>INDEX($M$77:$Z$85,MATCH($CW82,$L$77:$L$85,0),MATCH(DA$78,$M$78:$Z$78,0))/INDEX(고양시_재차인원!$D$4:$H$35,MATCH("고양시",고양시_재차인원!$B$4:$B$35,0),MATCH($CX$77,고양시_재차인원!$D$4:$H$4,0))</f>
        <v>0</v>
      </c>
      <c r="DB82" s="267">
        <f>INDEX($AA$77:$AN$85,MATCH($CW82,$L$77:$L$85,0),MATCH(DB$78,$AA$78:$AN$78,0))/INDEX(고양시_재차인원!$D$4:$H$35,MATCH("고양시",고양시_재차인원!$B$4:$B$35,0),MATCH($DB$77,고양시_재차인원!$D$4:$H$4,0))</f>
        <v>0</v>
      </c>
      <c r="DC82" s="267">
        <f>INDEX($AA$77:$AN$85,MATCH($CW82,$L$77:$L$85,0),MATCH(DC$78,$AA$78:$AN$78,0))/INDEX(고양시_재차인원!$K$4:$O$20,MATCH("경기도",고양시_재차인원!$K$4:$K$20,0),MATCH(DC$78,고양시_재차인원!$K$4:$O$4,0))</f>
        <v>0</v>
      </c>
      <c r="DD82" s="267">
        <f>INDEX($AA$77:$AN$85,MATCH($CW82,$L$77:$L$85,0),MATCH(DD$78,$AA$78:$AN$78,0))/INDEX(고양시_재차인원!$K$4:$O$20,MATCH("경기도",고양시_재차인원!$K$4:$K$20,0),MATCH(DD$78,고양시_재차인원!$K$4:$O$4,0))</f>
        <v>0</v>
      </c>
      <c r="DE82" s="267">
        <f>INDEX($AA$77:$AN$85,MATCH($CW82,$L$77:$L$85,0),MATCH(DE$78,$AA$78:$AN$78,0))/INDEX(고양시_재차인원!$D$4:$H$35,MATCH("고양시",고양시_재차인원!$B$4:$B$35,0),MATCH($DB$77,고양시_재차인원!$D$4:$H$4,0))</f>
        <v>0</v>
      </c>
      <c r="DF82" s="267">
        <f>INDEX($AO$77:$BB$85,MATCH($CW82,$L$77:$L$85,0),MATCH(DF$78,$AO$78:$BB$78,0))/INDEX(고양시_재차인원!$D$4:$H$35,MATCH("고양시",고양시_재차인원!$B$4:$B$35,0),MATCH($DF$77,고양시_재차인원!$D$4:$H$4,0))</f>
        <v>0</v>
      </c>
      <c r="DG82" s="267">
        <f>INDEX($AO$77:$BB$85,MATCH($CW82,$L$77:$L$85,0),MATCH(DG$78,$AO$78:$BB$78,0))/INDEX(고양시_재차인원!$K$4:$O$20,MATCH("경기도",고양시_재차인원!$K$4:$K$20,0),MATCH(DG$78,고양시_재차인원!$K$4:$O$4,0))</f>
        <v>0</v>
      </c>
      <c r="DH82" s="267">
        <f>INDEX($AO$77:$BB$85,MATCH($CW82,$L$77:$L$85,0),MATCH(DH$78,$AO$78:$BB$78,0))/INDEX(고양시_재차인원!$K$4:$O$20,MATCH("경기도",고양시_재차인원!$K$4:$K$20,0),MATCH(DH$78,고양시_재차인원!$K$4:$O$4,0))</f>
        <v>0</v>
      </c>
      <c r="DI82" s="267">
        <f>INDEX($AO$77:$BB$85,MATCH($CW82,$L$77:$L$85,0),MATCH(DI$78,$AO$78:$BB$78,0))/INDEX(고양시_재차인원!$D$4:$H$35,MATCH("고양시",고양시_재차인원!$B$4:$B$35,0),MATCH($DF$77,고양시_재차인원!$D$4:$H$4,0))</f>
        <v>0</v>
      </c>
      <c r="DJ82" s="267">
        <f>INDEX($BC$77:$BP$85,MATCH($CW82,$L$77:$L$85,0),MATCH(DJ$78,$BC$78:$BP$78,0))/INDEX(고양시_재차인원!$D$4:$H$35,MATCH("고양시",고양시_재차인원!$B$4:$B$35,0),MATCH($DJ$77,고양시_재차인원!$D$4:$H$4,0))</f>
        <v>0</v>
      </c>
      <c r="DK82" s="267">
        <f>INDEX($BC$77:$BP$85,MATCH($CW82,$L$77:$L$85,0),MATCH(DK$78,$BC$78:$BP$78,0))/INDEX(고양시_재차인원!$K$4:$O$20,MATCH("경기도",고양시_재차인원!$K$4:$K$20,0),MATCH(DK$78,고양시_재차인원!$K$4:$O$4,0))</f>
        <v>0</v>
      </c>
      <c r="DL82" s="267">
        <f>INDEX($BC$77:$BP$85,MATCH($CW82,$L$77:$L$85,0),MATCH(DL$78,$BC$78:$BP$78,0))/INDEX(고양시_재차인원!$K$4:$O$20,MATCH("경기도",고양시_재차인원!$K$4:$K$20,0),MATCH(DL$78,고양시_재차인원!$K$4:$O$4,0))</f>
        <v>0</v>
      </c>
      <c r="DM82" s="267">
        <f>INDEX($BC$77:$BP$85,MATCH($CW82,$L$77:$L$85,0),MATCH(DM$78,$BC$78:$BP$78,0))/INDEX(고양시_재차인원!$D$4:$H$35,MATCH("고양시",고양시_재차인원!$B$4:$B$35,0),MATCH($DJ$77,고양시_재차인원!$D$4:$H$4,0))</f>
        <v>0</v>
      </c>
      <c r="DN82" s="267">
        <f>INDEX($BQ$77:$CD$85,MATCH($CW82,$L$77:$L$85,0),MATCH(DN$78,$BQ$78:$CD$78,0))/INDEX(고양시_재차인원!$D$4:$H$35,MATCH("고양시",고양시_재차인원!$B$4:$B$35,0),MATCH($DN$77,고양시_재차인원!$D$4:$H$4,0))</f>
        <v>0</v>
      </c>
      <c r="DO82" s="267">
        <f>INDEX($BQ$77:$CD$85,MATCH($CW82,$L$77:$L$85,0),MATCH(DO$78,$BQ$78:$CD$78,0))/INDEX(고양시_재차인원!$K$4:$O$20,MATCH("경기도",고양시_재차인원!$K$4:$K$20,0),MATCH(DO$78,고양시_재차인원!$K$4:$O$4,0))</f>
        <v>0</v>
      </c>
      <c r="DP82" s="267">
        <f>INDEX($BQ$77:$CD$85,MATCH($CW82,$L$77:$L$85,0),MATCH(DP$78,$BQ$78:$CD$78,0))/INDEX(고양시_재차인원!$K$4:$O$20,MATCH("경기도",고양시_재차인원!$K$4:$K$20,0),MATCH(DP$78,고양시_재차인원!$K$4:$O$4,0))</f>
        <v>0</v>
      </c>
      <c r="DQ82" s="267">
        <f>INDEX($BQ$77:$CD$85,MATCH($CW82,$L$77:$L$85,0),MATCH(DQ$78,$BQ$78:$CD$78,0))/INDEX(고양시_재차인원!$D$4:$H$35,MATCH("고양시",고양시_재차인원!$B$4:$B$35,0),MATCH($DN$77,고양시_재차인원!$D$4:$H$4,0))</f>
        <v>0</v>
      </c>
      <c r="DR82" s="270">
        <f t="shared" si="23"/>
        <v>0</v>
      </c>
      <c r="DS82" s="270">
        <f t="shared" si="18"/>
        <v>0</v>
      </c>
      <c r="DT82" s="270">
        <f t="shared" si="18"/>
        <v>0</v>
      </c>
      <c r="DU82" s="270">
        <f t="shared" si="18"/>
        <v>0</v>
      </c>
      <c r="DW82" s="278"/>
      <c r="DX82" s="278" t="s">
        <v>718</v>
      </c>
      <c r="DY82" s="281">
        <f t="shared" si="24"/>
        <v>0</v>
      </c>
      <c r="DZ82" s="281">
        <f t="shared" si="25"/>
        <v>0</v>
      </c>
      <c r="EB82" s="278"/>
      <c r="EC82" s="278" t="s">
        <v>671</v>
      </c>
      <c r="ED82" s="281">
        <f t="shared" si="26"/>
        <v>0</v>
      </c>
      <c r="EE82" s="281">
        <f t="shared" si="19"/>
        <v>0</v>
      </c>
      <c r="FE82" t="s">
        <v>12</v>
      </c>
      <c r="FF82" t="s">
        <v>359</v>
      </c>
      <c r="FG82">
        <v>5055.2204000000002</v>
      </c>
      <c r="FH82" s="277" t="e">
        <f t="shared" si="27"/>
        <v>#DIV/0!</v>
      </c>
    </row>
    <row r="83" spans="1:164" ht="25">
      <c r="A83" s="205"/>
      <c r="B83" s="205" t="s">
        <v>716</v>
      </c>
      <c r="C83" s="400">
        <f>$D12*KTDB_TripDistribution_2040!T$12 * (1+KTDB_발생량도착량_증가율!$C$7) * (1+KTDB_발생량도착량_증가율!$D$8*5) * (1+KTDB_발생량도착량_증가율!$E$8*5) * (1+KTDB_발생량도착량_증가율!$F$8*5)</f>
        <v>48.970854569728985</v>
      </c>
      <c r="D83" s="400">
        <f>$D12*KTDB_TripDistribution_2040!U$12 * (1+KTDB_발생량도착량_증가율!$C$7) * (1+KTDB_발생량도착량_증가율!$D$8*5) * (1+KTDB_발생량도착량_증가율!$E$8*5) * (1+KTDB_발생량도착량_증가율!$F$8*5)</f>
        <v>354.4120930619149</v>
      </c>
      <c r="E83" s="400">
        <f>$D12*KTDB_TripDistribution_2040!V$12 * (1+KTDB_발생량도착량_증가율!$C$7) * (1+KTDB_발생량도착량_증가율!$D$8*5) * (1+KTDB_발생량도착량_증가율!$E$8*5) * (1+KTDB_발생량도착량_증가율!$F$8*5)</f>
        <v>20.331744535366003</v>
      </c>
      <c r="F83" s="400">
        <f>$D12*KTDB_TripDistribution_2040!W$12 * (1+KTDB_발생량도착량_증가율!$C$7) * (1+KTDB_발생량도착량_증가율!$D$8*5) * (1+KTDB_발생량도착량_증가율!$E$8*5) * (1+KTDB_발생량도착량_증가율!$F$8*5)</f>
        <v>3.1951405765373607E-2</v>
      </c>
      <c r="G83" s="400">
        <f>$D12*KTDB_TripDistribution_2040!X$12 * (1+KTDB_발생량도착량_증가율!$C$7) * (1+KTDB_발생량도착량_증가율!$D$8*5) * (1+KTDB_발생량도착량_증가율!$E$8*5) * (1+KTDB_발생량도착량_증가율!$F$8*5)</f>
        <v>0.12070531066918878</v>
      </c>
      <c r="H83" s="400">
        <f>$D12*KTDB_TripDistribution_2040!Y$12 * (1+KTDB_발생량도착량_증가율!$C$7) * (1+KTDB_발생량도착량_증가율!$D$8*5) * (1+KTDB_발생량도착량_증가율!$E$8*5) * (1+KTDB_발생량도착량_증가율!$F$8*5)</f>
        <v>423.86734888344455</v>
      </c>
      <c r="J83" s="230">
        <f t="shared" si="16"/>
        <v>423.86734888344449</v>
      </c>
      <c r="K83" s="206"/>
      <c r="L83" s="206" t="s">
        <v>716</v>
      </c>
      <c r="M83" s="206">
        <f>INDEX($A$78:$H$85,MATCH($L83,$B$78:$B$85,0),MATCH($M$77,$A$78:$H$78,0))*고양시_Modal_split!C$3 * 0.01</f>
        <v>0.13711839279524113</v>
      </c>
      <c r="N83" s="206">
        <f>INDEX($A$78:$H$85,MATCH($L83,$B$78:$B$85,0),MATCH($M$77,$A$78:$H$78,0))*고양시_Modal_split!D$3 * 0.01</f>
        <v>23.030992904143542</v>
      </c>
      <c r="O83" s="206">
        <f>INDEX($A$78:$H$85,MATCH($L83,$B$78:$B$85,0),MATCH($M$77,$A$78:$H$78,0))*고양시_Modal_split!E$3 * 0.01</f>
        <v>2.786441625017579</v>
      </c>
      <c r="P83" s="206">
        <f>INDEX($A$78:$H$85,MATCH($L83,$B$78:$B$85,0),MATCH($M$77,$A$78:$H$78,0))*고양시_Modal_split!F$3 * 0.01</f>
        <v>4.4906273640441485</v>
      </c>
      <c r="Q83" s="206">
        <f>INDEX($A$78:$H$85,MATCH($L83,$B$78:$B$85,0),MATCH($M$77,$A$78:$H$78,0))*고양시_Modal_split!G$3 * 0.01</f>
        <v>0.45053186204150664</v>
      </c>
      <c r="R83" s="206">
        <f>INDEX($A$78:$H$85,MATCH($L83,$B$78:$B$85,0),MATCH($M$77,$A$78:$H$78,0))*고양시_Modal_split!H$3 * 0.01</f>
        <v>4.8970854569728986E-3</v>
      </c>
      <c r="S83" s="206">
        <f>INDEX($A$78:$H$85,MATCH($L83,$B$78:$B$85,0),MATCH($M$77,$A$78:$H$78,0))*고양시_Modal_split!I$3 * 0.01</f>
        <v>1.3613897570384657</v>
      </c>
      <c r="T83" s="206">
        <f>INDEX($A$78:$H$85,MATCH($L83,$B$78:$B$85,0),MATCH($M$77,$A$78:$H$78,0))*고양시_Modal_split!J$3 * 0.01</f>
        <v>14.906728131025504</v>
      </c>
      <c r="U83" s="206">
        <f>INDEX($A$78:$H$85,MATCH($L83,$B$78:$B$85,0),MATCH($M$77,$A$78:$H$78,0))*고양시_Modal_split!K$3 * 0.01</f>
        <v>7.3456281854593478E-2</v>
      </c>
      <c r="V83" s="206">
        <f>INDEX($A$78:$H$85,MATCH($L83,$B$78:$B$85,0),MATCH($M$77,$A$78:$H$78,0))*고양시_Modal_split!L$3 * 0.01</f>
        <v>1.4789198080058155</v>
      </c>
      <c r="W83" s="206">
        <f>INDEX($A$78:$H$85,MATCH($L83,$B$78:$B$85,0),MATCH($M$77,$A$78:$H$78,0))*고양시_Modal_split!M$3 * 0.01</f>
        <v>0.11263296551037666</v>
      </c>
      <c r="X83" s="206">
        <f>INDEX($A$78:$H$85,MATCH($L83,$B$78:$B$85,0),MATCH($M$77,$A$78:$H$78,0))*고양시_Modal_split!N$3 * 0.01</f>
        <v>4.8970854569728994E-2</v>
      </c>
      <c r="Y83" s="206">
        <f>INDEX($A$78:$H$85,MATCH($L83,$B$78:$B$85,0),MATCH($M$77,$A$78:$H$78,0))*고양시_Modal_split!O$3 * 0.01</f>
        <v>8.8147538225512162E-2</v>
      </c>
      <c r="Z83" s="209">
        <f>INDEX($A$78:$H$85,MATCH($L83,$B$78:$B$85,0),MATCH($M$77,$A$78:$H$78,0))*고양시_Modal_split!P$3 * 0.01</f>
        <v>48.970854569728985</v>
      </c>
      <c r="AA83" s="207">
        <f>INDEX($A$78:$H$85,MATCH($L83,$B$78:$B$85,0),MATCH($AA$77,$A$78:$H$78,0))*고양시_Modal_split!C$3 * 0.01</f>
        <v>0.99235386057336161</v>
      </c>
      <c r="AB83" s="207">
        <f>INDEX($A$78:$H$85,MATCH($L83,$B$78:$B$85,0),MATCH($AA$77,$A$78:$H$78,0))*고양시_Modal_split!D$3 * 0.01</f>
        <v>166.68000736701859</v>
      </c>
      <c r="AC83" s="207">
        <f>INDEX($A$78:$H$85,MATCH($L83,$B$78:$B$85,0),MATCH($AA$77,$A$78:$H$78,0))*고양시_Modal_split!E$3 * 0.01</f>
        <v>20.166048095222958</v>
      </c>
      <c r="AD83" s="207">
        <f>INDEX($A$78:$H$85,MATCH($L83,$B$78:$B$85,0),MATCH($AA$77,$A$78:$H$78,0))*고양시_Modal_split!F$3 * 0.01</f>
        <v>32.499588933777595</v>
      </c>
      <c r="AE83" s="207">
        <f>INDEX($A$78:$H$85,MATCH($L83,$B$78:$B$85,0),MATCH($AA$77,$A$78:$H$78,0))*고양시_Modal_split!G$3 * 0.01</f>
        <v>3.2605912561696169</v>
      </c>
      <c r="AF83" s="207">
        <f>INDEX($A$78:$H$85,MATCH($L83,$B$78:$B$85,0),MATCH($AA$77,$A$78:$H$78,0))*고양시_Modal_split!H$3 * 0.01</f>
        <v>3.544120930619149E-2</v>
      </c>
      <c r="AG83" s="207">
        <f>INDEX($A$78:$H$85,MATCH($L83,$B$78:$B$85,0),MATCH($AA$77,$A$78:$H$78,0))*고양시_Modal_split!I$3 * 0.01</f>
        <v>9.8526561871212337</v>
      </c>
      <c r="AH83" s="207">
        <f>INDEX($A$78:$H$85,MATCH($L83,$B$78:$B$85,0),MATCH($AA$77,$A$78:$H$78,0))*고양시_Modal_split!J$3 * 0.01</f>
        <v>107.8830411280469</v>
      </c>
      <c r="AI83" s="207">
        <f>INDEX($A$78:$H$85,MATCH($L83,$B$78:$B$85,0),MATCH($AA$77,$A$78:$H$78,0))*고양시_Modal_split!K$3 * 0.01</f>
        <v>0.53161813959287241</v>
      </c>
      <c r="AJ83" s="207">
        <f>INDEX($A$78:$H$85,MATCH($L83,$B$78:$B$85,0),MATCH($AA$77,$A$78:$H$78,0))*고양시_Modal_split!L$3 * 0.01</f>
        <v>10.703245210469829</v>
      </c>
      <c r="AK83" s="207">
        <f>INDEX($A$78:$H$85,MATCH($L83,$B$78:$B$85,0),MATCH($AA$77,$A$78:$H$78,0))*고양시_Modal_split!M$3 * 0.01</f>
        <v>0.81514781404240422</v>
      </c>
      <c r="AL83" s="207">
        <f>INDEX($A$78:$H$85,MATCH($L83,$B$78:$B$85,0),MATCH($AA$77,$A$78:$H$78,0))*고양시_Modal_split!N$3 * 0.01</f>
        <v>0.3544120930619149</v>
      </c>
      <c r="AM83" s="207">
        <f>INDEX($A$78:$H$85,MATCH($L83,$B$78:$B$85,0),MATCH($AA$77,$A$78:$H$78,0))*고양시_Modal_split!O$3 * 0.01</f>
        <v>0.63794176751144682</v>
      </c>
      <c r="AN83" s="207">
        <f>INDEX($A$78:$H$85,MATCH($L83,$B$78:$B$85,0),MATCH($AA$77,$A$78:$H$78,0))*고양시_Modal_split!P$3 * 0.01</f>
        <v>354.41209306191496</v>
      </c>
      <c r="AO83" s="303">
        <f>INDEX($A$78:$H$85,MATCH($L40,$B$78:$B$85,0),MATCH($AO$77,$A$78:$H$78,0))*고양시_Modal_split!C$3 * 0.01</f>
        <v>5.6928884699024802E-2</v>
      </c>
      <c r="AP83" s="303">
        <f>INDEX($A$78:$H$85,MATCH($L40,$B$78:$B$85,0),MATCH($AO$77,$A$78:$H$78,0))*고양시_Modal_split!D$3 * 0.01</f>
        <v>9.5620194549826323</v>
      </c>
      <c r="AQ83" s="303">
        <f>INDEX($A$78:$H$85,MATCH($L40,$B$78:$B$85,0),MATCH($AO$77,$A$78:$H$78,0))*고양시_Modal_split!E$3 * 0.01</f>
        <v>1.1568762640623254</v>
      </c>
      <c r="AR83" s="303">
        <f>INDEX($A$78:$H$85,MATCH($L40,$B$78:$B$85,0),MATCH($AO$77,$A$78:$H$78,0))*고양시_Modal_split!F$3 * 0.01</f>
        <v>1.8644209738930624</v>
      </c>
      <c r="AS83" s="303">
        <f>INDEX($A$78:$H$85,MATCH($L40,$B$78:$B$85,0),MATCH($AO$77,$A$78:$H$78,0))*고양시_Modal_split!G$3 * 0.01</f>
        <v>0.18705204972536721</v>
      </c>
      <c r="AT83" s="303">
        <f>INDEX($A$78:$H$85,MATCH($L40,$B$78:$B$85,0),MATCH($AO$77,$A$78:$H$78,0))*고양시_Modal_split!H$3 * 0.01</f>
        <v>2.0331744535366002E-3</v>
      </c>
      <c r="AU83" s="303">
        <f>INDEX($A$78:$H$85,MATCH($L40,$B$78:$B$85,0),MATCH($AO$77,$A$78:$H$78,0))*고양시_Modal_split!I$3 * 0.01</f>
        <v>0.56522249808317482</v>
      </c>
      <c r="AV83" s="303">
        <f>INDEX($A$78:$H$85,MATCH($L40,$B$78:$B$85,0),MATCH($AO$77,$A$78:$H$78,0))*고양시_Modal_split!J$3 * 0.01</f>
        <v>6.1889830365654124</v>
      </c>
      <c r="AW83" s="303">
        <f>INDEX($A$78:$H$85,MATCH($L40,$B$78:$B$85,0),MATCH($AO$77,$A$78:$H$78,0))*고양시_Modal_split!K$3 * 0.01</f>
        <v>3.0497616803049001E-2</v>
      </c>
      <c r="AX83" s="303">
        <f>INDEX($A$78:$H$85,MATCH($L40,$B$78:$B$85,0),MATCH($AO$77,$A$78:$H$78,0))*고양시_Modal_split!L$3 * 0.01</f>
        <v>0.61401868496805334</v>
      </c>
      <c r="AY83" s="303">
        <f>INDEX($A$78:$H$85,MATCH($L40,$B$78:$B$85,0),MATCH($AO$77,$A$78:$H$78,0))*고양시_Modal_split!M$3 * 0.01</f>
        <v>4.6763012431341802E-2</v>
      </c>
      <c r="AZ83" s="303">
        <f>INDEX($A$78:$H$85,MATCH($L40,$B$78:$B$85,0),MATCH($AO$77,$A$78:$H$78,0))*고양시_Modal_split!N$3 * 0.01</f>
        <v>2.0331744535366007E-2</v>
      </c>
      <c r="BA83" s="207">
        <f>INDEX($A$78:$H$85,MATCH($L40,$B$78:$B$85,0),MATCH($AO$77,$A$78:$H$78,0))*고양시_Modal_split!O$3 * 0.01</f>
        <v>3.6597140163658802E-2</v>
      </c>
      <c r="BB83" s="207">
        <f>INDEX($A$78:$H$85,MATCH($L40,$B$78:$B$85,0),MATCH($AO$77,$A$78:$H$78,0))*고양시_Modal_split!P$3 * 0.01</f>
        <v>20.331744535366003</v>
      </c>
      <c r="BC83" s="207">
        <f>INDEX($A$78:$H$85,MATCH($L83,$B$78:$B$85,0),MATCH($BC$77,$A$78:$H$78,0))*고양시_Modal_split!C$3 * 0.01</f>
        <v>8.9463936143046092E-5</v>
      </c>
      <c r="BD83" s="207">
        <f>INDEX($A$78:$H$85,MATCH($L83,$B$78:$B$85,0),MATCH($BC$77,$A$78:$H$78,0))*고양시_Modal_split!D$3 * 0.01</f>
        <v>1.5026746131455208E-2</v>
      </c>
      <c r="BE83" s="207">
        <f>INDEX($A$78:$H$85,MATCH($L83,$B$78:$B$85,0),MATCH($BC$77,$A$78:$H$78,0))*고양시_Modal_split!E$3 * 0.01</f>
        <v>1.8180349880497582E-3</v>
      </c>
      <c r="BF83" s="207">
        <f>INDEX($A$78:$H$85,MATCH($L83,$B$78:$B$85,0),MATCH($BC$77,$A$78:$H$78,0))*고양시_Modal_split!F$3 * 0.01</f>
        <v>2.9299439086847598E-3</v>
      </c>
      <c r="BG83" s="207">
        <f>INDEX($A$78:$H$85,MATCH($L83,$B$78:$B$85,0),MATCH($BC$77,$A$78:$H$78,0))*고양시_Modal_split!G$3 * 0.01</f>
        <v>2.9395293304143718E-4</v>
      </c>
      <c r="BH83" s="207">
        <f>INDEX($A$78:$H$85,MATCH($L83,$B$78:$B$85,0),MATCH($BC$77,$A$78:$H$78,0))*고양시_Modal_split!H$3 * 0.01</f>
        <v>3.195140576537361E-6</v>
      </c>
      <c r="BI83" s="207">
        <f>INDEX($A$78:$H$85,MATCH($L83,$B$78:$B$85,0),MATCH($BC$77,$A$78:$H$78,0))*고양시_Modal_split!I$3 * 0.01</f>
        <v>8.8824908027738622E-4</v>
      </c>
      <c r="BJ83" s="207">
        <f>INDEX($A$78:$H$85,MATCH($L83,$B$78:$B$85,0),MATCH($BC$77,$A$78:$H$78,0))*고양시_Modal_split!J$3 * 0.01</f>
        <v>9.7260079149797257E-3</v>
      </c>
      <c r="BK83" s="207">
        <f>INDEX($A$78:$H$85,MATCH($L83,$B$78:$B$85,0),MATCH($BC$77,$A$78:$H$78,0))*고양시_Modal_split!K$3 * 0.01</f>
        <v>4.7927108648060408E-5</v>
      </c>
      <c r="BL83" s="207">
        <f>INDEX($A$78:$H$85,MATCH($L83,$B$78:$B$85,0),MATCH($BC$77,$A$78:$H$78,0))*고양시_Modal_split!L$3 * 0.01</f>
        <v>9.6493245411428301E-4</v>
      </c>
      <c r="BM83" s="207">
        <f>INDEX($A$78:$H$85,MATCH($L83,$B$78:$B$85,0),MATCH($BC$77,$A$78:$H$78,0))*고양시_Modal_split!M$3 * 0.01</f>
        <v>7.3488233260359296E-5</v>
      </c>
      <c r="BN83" s="207">
        <f>INDEX($A$78:$H$85,MATCH($L83,$B$78:$B$85,0),MATCH($BC$77,$A$78:$H$78,0))*고양시_Modal_split!N$3 * 0.01</f>
        <v>3.1951405765373605E-5</v>
      </c>
      <c r="BO83" s="207">
        <f>INDEX($A$78:$H$85,MATCH($L83,$B$78:$B$85,0),MATCH($BC$77,$A$78:$H$78,0))*고양시_Modal_split!O$3 * 0.01</f>
        <v>5.7512530377672493E-5</v>
      </c>
      <c r="BP83" s="207">
        <f>INDEX($A$78:$H$85,MATCH($L83,$B$78:$B$85,0),MATCH($BC$77,$A$78:$H$78,0))*고양시_Modal_split!P$3 * 0.01</f>
        <v>3.1951405765373607E-2</v>
      </c>
      <c r="BQ83" s="207">
        <f>INDEX($A$78:$H$85,MATCH($L40,$B$78:$B$85,0),MATCH($BQ$77,$A$78:$H$78,0))*고양시_Modal_split!C$3 * 0.01</f>
        <v>3.379748698737286E-4</v>
      </c>
      <c r="BR83" s="207">
        <f>INDEX($A$78:$H$85,MATCH($L40,$B$78:$B$85,0),MATCH($BQ$77,$A$78:$H$78,0))*고양시_Modal_split!D$3 * 0.01</f>
        <v>5.6767707607719486E-2</v>
      </c>
      <c r="BS83" s="207">
        <f>INDEX($A$78:$H$85,MATCH($L40,$B$78:$B$85,0),MATCH($BQ$77,$A$78:$H$78,0))*고양시_Modal_split!E$3 * 0.01</f>
        <v>6.8681321770768409E-3</v>
      </c>
      <c r="BT83" s="207">
        <f>INDEX($A$78:$H$85,MATCH($L40,$B$78:$B$85,0),MATCH($BQ$77,$A$78:$H$78,0))*고양시_Modal_split!F$3 * 0.01</f>
        <v>1.1068676988364612E-2</v>
      </c>
      <c r="BU83" s="207">
        <f>INDEX($A$78:$H$85,MATCH($L40,$B$78:$B$85,0),MATCH($BQ$77,$A$78:$H$78,0))*고양시_Modal_split!G$3 * 0.01</f>
        <v>1.1104888581565367E-3</v>
      </c>
      <c r="BV83" s="207">
        <f>INDEX($A$78:$H$85,MATCH($L40,$B$78:$B$85,0),MATCH($BQ$77,$A$78:$H$78,0))*고양시_Modal_split!H$3 * 0.01</f>
        <v>1.2070531066918878E-5</v>
      </c>
      <c r="BW83" s="207">
        <f>INDEX($A$78:$H$85,MATCH($L40,$B$78:$B$85,0),MATCH($BQ$77,$A$78:$H$78,0))*고양시_Modal_split!I$3 * 0.01</f>
        <v>3.3556076366034484E-3</v>
      </c>
      <c r="BX83" s="207">
        <f>INDEX($A$78:$H$85,MATCH($L40,$B$78:$B$85,0),MATCH($BQ$77,$A$78:$H$78,0))*고양시_Modal_split!J$3 * 0.01</f>
        <v>3.6742696567701065E-2</v>
      </c>
      <c r="BY83" s="207">
        <f>INDEX($A$78:$H$85,MATCH($L40,$B$78:$B$85,0),MATCH($BQ$77,$A$78:$H$78,0))*고양시_Modal_split!K$3 * 0.01</f>
        <v>1.8105796600378316E-4</v>
      </c>
      <c r="BZ83" s="207">
        <f>INDEX($A$78:$H$85,MATCH($L40,$B$78:$B$85,0),MATCH($BQ$77,$A$78:$H$78,0))*고양시_Modal_split!L$3 * 0.01</f>
        <v>3.6453003822095017E-3</v>
      </c>
      <c r="CA83" s="207">
        <f>INDEX($A$78:$H$85,MATCH($L40,$B$78:$B$85,0),MATCH($BQ$77,$A$78:$H$78,0))*고양시_Modal_split!M$3 * 0.01</f>
        <v>2.7762221453913417E-4</v>
      </c>
      <c r="CB83" s="207">
        <f>INDEX($A$78:$H$85,MATCH($L40,$B$78:$B$85,0),MATCH($BQ$77,$A$78:$H$78,0))*고양시_Modal_split!N$3 * 0.01</f>
        <v>1.207053106691888E-4</v>
      </c>
      <c r="CC83" s="207">
        <f>INDEX($A$78:$H$85,MATCH($L40,$B$78:$B$85,0),MATCH($BQ$77,$A$78:$H$78,0))*고양시_Modal_split!O$3 * 0.01</f>
        <v>2.1726955920453979E-4</v>
      </c>
      <c r="CD83" s="207">
        <f>INDEX($A$78:$H$85,MATCH($L40,$B$78:$B$85,0),MATCH($BQ$77,$A$78:$H$78,0))*고양시_Modal_split!P$3 * 0.01</f>
        <v>0.12070531066918878</v>
      </c>
      <c r="CE83" s="304">
        <f t="shared" si="21"/>
        <v>1.1868285768736444</v>
      </c>
      <c r="CF83" s="304">
        <f t="shared" si="17"/>
        <v>199.34481417988394</v>
      </c>
      <c r="CG83" s="304">
        <f t="shared" si="17"/>
        <v>24.118052151467985</v>
      </c>
      <c r="CH83" s="304">
        <f t="shared" si="17"/>
        <v>38.868635892611856</v>
      </c>
      <c r="CI83" s="304">
        <f t="shared" si="17"/>
        <v>3.8995796097276885</v>
      </c>
      <c r="CJ83" s="304">
        <f t="shared" si="17"/>
        <v>4.2386734888344442E-2</v>
      </c>
      <c r="CK83" s="304">
        <f t="shared" si="17"/>
        <v>11.783512298959756</v>
      </c>
      <c r="CL83" s="304">
        <f t="shared" si="17"/>
        <v>129.0252210001205</v>
      </c>
      <c r="CM83" s="304">
        <f t="shared" si="17"/>
        <v>0.63580102332516675</v>
      </c>
      <c r="CN83" s="304">
        <f t="shared" si="17"/>
        <v>12.800793936280021</v>
      </c>
      <c r="CO83" s="304">
        <f t="shared" si="17"/>
        <v>0.97489490243192212</v>
      </c>
      <c r="CP83" s="304">
        <f t="shared" si="17"/>
        <v>0.42386734888344452</v>
      </c>
      <c r="CQ83" s="304">
        <f t="shared" si="17"/>
        <v>0.76296122799019994</v>
      </c>
      <c r="CR83" s="304">
        <f t="shared" si="17"/>
        <v>423.86734888344449</v>
      </c>
      <c r="CS83" s="305">
        <f t="shared" si="22"/>
        <v>0</v>
      </c>
      <c r="CV83" s="265"/>
      <c r="CW83" s="265" t="s">
        <v>716</v>
      </c>
      <c r="CX83" s="267">
        <f>INDEX($M$77:$Z$85,MATCH($CW83,$L$77:$L$85,0),MATCH(CX$78,$M$78:$Z$78,0))/INDEX(고양시_재차인원!$D$4:$H$35,MATCH("고양시",고양시_재차인원!$B$4:$B$35,0),MATCH($CX$77,고양시_재차인원!$D$4:$H$4,0))</f>
        <v>20.563386521556733</v>
      </c>
      <c r="CY83" s="267">
        <f>INDEX($M$77:$Z$85,MATCH($CW83,$L$77:$L$85,0),MATCH(CY$78,$M$78:$Z$78,0))/INDEX(고양시_재차인원!$K$4:$O$20,MATCH("경기도",고양시_재차인원!$K$4:$K$20,0),MATCH(CY$78,고양시_재차인원!$K$4:$O$4,0))</f>
        <v>1.7009675085004859E-4</v>
      </c>
      <c r="CZ83" s="267">
        <f>INDEX($M$77:$Z$85,MATCH($CW83,$L$77:$L$85,0),MATCH(CZ$78,$M$78:$Z$78,0))/INDEX(고양시_재차인원!$K$4:$O$20,MATCH("경기도",고양시_재차인원!$K$4:$K$20,0),MATCH(CZ$78,고양시_재차인원!$K$4:$O$4,0))</f>
        <v>4.7286896736313498E-2</v>
      </c>
      <c r="DA83" s="267">
        <f>INDEX($M$77:$Z$85,MATCH($CW83,$L$77:$L$85,0),MATCH(DA$78,$M$78:$Z$78,0))/INDEX(고양시_재차인원!$D$4:$H$35,MATCH("고양시",고양시_재차인원!$B$4:$B$35,0),MATCH($CX$77,고양시_재차인원!$D$4:$H$4,0))</f>
        <v>1.3204641142909066</v>
      </c>
      <c r="DB83" s="267">
        <f>INDEX($AA$77:$AN$85,MATCH($CW83,$L$77:$L$85,0),MATCH(DB$78,$AA$78:$AN$78,0))/INDEX(고양시_재차인원!$D$4:$H$35,MATCH("고양시",고양시_재차인원!$B$4:$B$35,0),MATCH($DB$77,고양시_재차인원!$D$4:$H$4,0))</f>
        <v>118.21277118228269</v>
      </c>
      <c r="DC83" s="267">
        <f>INDEX($AA$77:$AN$85,MATCH($CW83,$L$77:$L$85,0),MATCH(DC$78,$AA$78:$AN$78,0))/INDEX(고양시_재차인원!$K$4:$O$20,MATCH("경기도",고양시_재차인원!$K$4:$K$20,0),MATCH(DC$78,고양시_재차인원!$K$4:$O$4,0))</f>
        <v>1.2310249845846298E-3</v>
      </c>
      <c r="DD83" s="267">
        <f>INDEX($AA$77:$AN$85,MATCH($CW83,$L$77:$L$85,0),MATCH(DD$78,$AA$78:$AN$78,0))/INDEX(고양시_재차인원!$K$4:$O$20,MATCH("경기도",고양시_재차인원!$K$4:$K$20,0),MATCH(DD$78,고양시_재차인원!$K$4:$O$4,0))</f>
        <v>0.34222494571452705</v>
      </c>
      <c r="DE83" s="267">
        <f>INDEX($AA$77:$AN$85,MATCH($CW83,$L$77:$L$85,0),MATCH(DE$78,$AA$78:$AN$78,0))/INDEX(고양시_재차인원!$D$4:$H$35,MATCH("고양시",고양시_재차인원!$B$4:$B$35,0),MATCH($DB$77,고양시_재차인원!$D$4:$H$4,0))</f>
        <v>7.5909540499786026</v>
      </c>
      <c r="DF83" s="267">
        <f>INDEX($AO$77:$BB$85,MATCH($CW83,$L$77:$L$85,0),MATCH(DF$78,$AO$78:$BB$78,0))/INDEX(고양시_재차인원!$D$4:$H$35,MATCH("고양시",고양시_재차인원!$B$4:$B$35,0),MATCH($DF$77,고양시_재차인원!$D$4:$H$4,0))</f>
        <v>7.3553995807558703</v>
      </c>
      <c r="DG83" s="267">
        <f>INDEX($AO$77:$BB$85,MATCH($CW83,$L$77:$L$85,0),MATCH(DG$78,$AO$78:$BB$78,0))/INDEX(고양시_재차인원!$K$4:$O$20,MATCH("경기도",고양시_재차인원!$K$4:$K$20,0),MATCH(DG$78,고양시_재차인원!$K$4:$O$4,0))</f>
        <v>7.0620856322910745E-5</v>
      </c>
      <c r="DH83" s="267">
        <f>INDEX($AO$77:$BB$85,MATCH($CW83,$L$77:$L$85,0),MATCH(DH$78,$AO$78:$BB$78,0))/INDEX(고양시_재차인원!$K$4:$O$20,MATCH("경기도",고양시_재차인원!$K$4:$K$20,0),MATCH(DH$78,고양시_재차인원!$K$4:$O$4,0))</f>
        <v>1.9632598057769186E-2</v>
      </c>
      <c r="DI83" s="267">
        <f>INDEX($AO$77:$BB$85,MATCH($CW83,$L$77:$L$85,0),MATCH(DI$78,$AO$78:$BB$78,0))/INDEX(고양시_재차인원!$D$4:$H$35,MATCH("고양시",고양시_재차인원!$B$4:$B$35,0),MATCH($DF$77,고양시_재차인원!$D$4:$H$4,0))</f>
        <v>0.47232206536004101</v>
      </c>
      <c r="DJ83" s="267">
        <f>INDEX($BC$77:$BP$85,MATCH($CW83,$L$77:$L$85,0),MATCH(DJ$78,$BC$78:$BP$78,0))/INDEX(고양시_재차인원!$D$4:$H$35,MATCH("고양시",고양시_재차인원!$B$4:$B$35,0),MATCH($DJ$77,고양시_재차인원!$D$4:$H$4,0))</f>
        <v>1.1049078037834711E-2</v>
      </c>
      <c r="DK83" s="267">
        <f>INDEX($BC$77:$BP$85,MATCH($CW83,$L$77:$L$85,0),MATCH(DK$78,$BC$78:$BP$78,0))/INDEX(고양시_재차인원!$K$4:$O$20,MATCH("경기도",고양시_재차인원!$K$4:$K$20,0),MATCH(DK$78,고양시_재차인원!$K$4:$O$4,0))</f>
        <v>1.1098091617010632E-7</v>
      </c>
      <c r="DL83" s="267">
        <f>INDEX($BC$77:$BP$85,MATCH($CW83,$L$77:$L$85,0),MATCH(DL$78,$BC$78:$BP$78,0))/INDEX(고양시_재차인원!$K$4:$O$20,MATCH("경기도",고양시_재차인원!$K$4:$K$20,0),MATCH(DL$78,고양시_재차인원!$K$4:$O$4,0))</f>
        <v>3.0852694695289557E-5</v>
      </c>
      <c r="DM83" s="267">
        <f>INDEX($BC$77:$BP$85,MATCH($CW83,$L$77:$L$85,0),MATCH(DM$78,$BC$78:$BP$78,0))/INDEX(고양시_재차인원!$D$4:$H$35,MATCH("고양시",고양시_재차인원!$B$4:$B$35,0),MATCH($DJ$77,고양시_재차인원!$D$4:$H$4,0))</f>
        <v>7.0950915743697273E-4</v>
      </c>
      <c r="DN83" s="267">
        <f>INDEX($BQ$77:$CD$85,MATCH($CW83,$L$77:$L$85,0),MATCH(DN$78,$BQ$78:$CD$78,0))/INDEX(고양시_재차인원!$D$4:$H$35,MATCH("고양시",고양시_재차인원!$B$4:$B$35,0),MATCH($DN$77,고양시_재차인원!$D$4:$H$4,0))</f>
        <v>4.5053736196602766E-2</v>
      </c>
      <c r="DO83" s="267">
        <f>INDEX($BQ$77:$CD$85,MATCH($CW83,$L$77:$L$85,0),MATCH(DO$78,$BQ$78:$CD$78,0))/INDEX(고양시_재차인원!$K$4:$O$20,MATCH("경기도",고양시_재차인원!$K$4:$K$20,0),MATCH(DO$78,고양시_재차인원!$K$4:$O$4,0))</f>
        <v>4.1926123886484467E-7</v>
      </c>
      <c r="DP83" s="267">
        <f>INDEX($BQ$77:$CD$85,MATCH($CW83,$L$77:$L$85,0),MATCH(DP$78,$BQ$78:$CD$78,0))/INDEX(고양시_재차인원!$K$4:$O$20,MATCH("경기도",고양시_재차인원!$K$4:$K$20,0),MATCH(DP$78,고양시_재차인원!$K$4:$O$4,0))</f>
        <v>1.1655462440442683E-4</v>
      </c>
      <c r="DQ83" s="267">
        <f>INDEX($BQ$77:$CD$85,MATCH($CW83,$L$77:$L$85,0),MATCH(DQ$78,$BQ$78:$CD$78,0))/INDEX(고양시_재차인원!$D$4:$H$35,MATCH("고양시",고양시_재차인원!$B$4:$B$35,0),MATCH($DN$77,고양시_재차인원!$D$4:$H$4,0))</f>
        <v>2.8930955414361126E-3</v>
      </c>
      <c r="DR83" s="270">
        <f t="shared" si="23"/>
        <v>146.18766009882972</v>
      </c>
      <c r="DS83" s="270">
        <f t="shared" si="18"/>
        <v>1.4722728339126242E-3</v>
      </c>
      <c r="DT83" s="270">
        <f t="shared" si="18"/>
        <v>0.40929184782770939</v>
      </c>
      <c r="DU83" s="270">
        <f t="shared" si="18"/>
        <v>9.3873428343284235</v>
      </c>
      <c r="DW83" s="278"/>
      <c r="DX83" s="278" t="s">
        <v>716</v>
      </c>
      <c r="DY83" s="281">
        <f t="shared" si="24"/>
        <v>155.57500293315815</v>
      </c>
      <c r="DZ83" s="281">
        <f t="shared" si="25"/>
        <v>0.41076412066162199</v>
      </c>
      <c r="EB83" s="278"/>
      <c r="EC83" s="278" t="s">
        <v>673</v>
      </c>
      <c r="ED83" s="281">
        <f t="shared" si="26"/>
        <v>155.57500293315815</v>
      </c>
      <c r="EE83" s="281">
        <f t="shared" si="19"/>
        <v>0.41076412066162199</v>
      </c>
      <c r="FE83" t="s">
        <v>12</v>
      </c>
      <c r="FF83" t="s">
        <v>360</v>
      </c>
      <c r="FG83">
        <v>6559.1377000000002</v>
      </c>
      <c r="FH83" s="277" t="e">
        <f t="shared" si="27"/>
        <v>#DIV/0!</v>
      </c>
    </row>
    <row r="84" spans="1:164" ht="37.5">
      <c r="A84" s="205"/>
      <c r="B84" s="205" t="s">
        <v>720</v>
      </c>
      <c r="C84" s="400">
        <f>$D13*KTDB_TripDistribution_2040!T$12 * (1+KTDB_발생량도착량_증가율!$C$7) * (1+KTDB_발생량도착량_증가율!$D$8*5) * (1+KTDB_발생량도착량_증가율!$E$8*5) * (1+KTDB_발생량도착량_증가율!$F$8*5)</f>
        <v>5.6810736159778408</v>
      </c>
      <c r="D84" s="400">
        <f>$D13*KTDB_TripDistribution_2040!U$12 * (1+KTDB_발생량도착량_증가율!$C$7) * (1+KTDB_발생량도착량_증가율!$D$8*5) * (1+KTDB_발생량도착량_증가율!$E$8*5) * (1+KTDB_발생량도착량_증가율!$F$8*5)</f>
        <v>41.11509200254234</v>
      </c>
      <c r="E84" s="400">
        <f>$D13*KTDB_TripDistribution_2040!V$12 * (1+KTDB_발생량도착량_증가율!$C$7) * (1+KTDB_발생량도착량_증가율!$D$8*5) * (1+KTDB_발생량도착량_증가율!$E$8*5) * (1+KTDB_발생량도착량_증가율!$F$8*5)</f>
        <v>2.3586710597872398</v>
      </c>
      <c r="F84" s="400">
        <f>$D13*KTDB_TripDistribution_2040!W$12 * (1+KTDB_발생량도착량_증가율!$C$7) * (1+KTDB_발생량도착량_증가율!$D$8*5) * (1+KTDB_발생량도착량_증가율!$E$8*5) * (1+KTDB_발생량도착량_증가율!$F$8*5)</f>
        <v>3.7066596015514629E-3</v>
      </c>
      <c r="G84" s="400">
        <f>$D13*KTDB_TripDistribution_2040!X$12 * (1+KTDB_발생량도착량_증가율!$C$7) * (1+KTDB_발생량도착량_증가율!$D$8*5) * (1+KTDB_발생량도착량_증가율!$E$8*5) * (1+KTDB_발생량도착량_증가율!$F$8*5)</f>
        <v>1.4002936272527701E-2</v>
      </c>
      <c r="H84" s="400">
        <f>$D13*KTDB_TripDistribution_2040!Y$12 * (1+KTDB_발생량도착량_증가율!$C$7) * (1+KTDB_발생량도착량_증가율!$D$8*5) * (1+KTDB_발생량도착량_증가율!$E$8*5) * (1+KTDB_발생량도착량_증가율!$F$8*5)</f>
        <v>49.172546274181506</v>
      </c>
      <c r="K84" s="206"/>
      <c r="L84" s="206" t="s">
        <v>720</v>
      </c>
      <c r="M84" s="206">
        <f>INDEX($A$78:$H$85,MATCH($L84,$B$78:$B$85,0),MATCH($M$77,$A$78:$H$78,0))*고양시_Modal_split!C$3 * 0.01</f>
        <v>1.5907006124737954E-2</v>
      </c>
      <c r="N84" s="206">
        <f>INDEX($A$78:$H$85,MATCH($L84,$B$78:$B$85,0),MATCH($M$77,$A$78:$H$78,0))*고양시_Modal_split!D$3 * 0.01</f>
        <v>2.6718089215943785</v>
      </c>
      <c r="O84" s="206">
        <f>INDEX($A$78:$H$85,MATCH($L84,$B$78:$B$85,0),MATCH($M$77,$A$78:$H$78,0))*고양시_Modal_split!E$3 * 0.01</f>
        <v>0.32325308874913911</v>
      </c>
      <c r="P84" s="206">
        <f>INDEX($A$78:$H$85,MATCH($L84,$B$78:$B$85,0),MATCH($M$77,$A$78:$H$78,0))*고양시_Modal_split!F$3 * 0.01</f>
        <v>0.52095445058516798</v>
      </c>
      <c r="Q84" s="206">
        <f>INDEX($A$78:$H$85,MATCH($L84,$B$78:$B$85,0),MATCH($M$77,$A$78:$H$78,0))*고양시_Modal_split!G$3 * 0.01</f>
        <v>5.2265877266996129E-2</v>
      </c>
      <c r="R84" s="206">
        <f>INDEX($A$78:$H$85,MATCH($L84,$B$78:$B$85,0),MATCH($M$77,$A$78:$H$78,0))*고양시_Modal_split!H$3 * 0.01</f>
        <v>5.6810736159778404E-4</v>
      </c>
      <c r="S84" s="206">
        <f>INDEX($A$78:$H$85,MATCH($L84,$B$78:$B$85,0),MATCH($M$77,$A$78:$H$78,0))*고양시_Modal_split!I$3 * 0.01</f>
        <v>0.15793384652418396</v>
      </c>
      <c r="T84" s="206">
        <f>INDEX($A$78:$H$85,MATCH($L84,$B$78:$B$85,0),MATCH($M$77,$A$78:$H$78,0))*고양시_Modal_split!J$3 * 0.01</f>
        <v>1.7293188087036548</v>
      </c>
      <c r="U84" s="206">
        <f>INDEX($A$78:$H$85,MATCH($L84,$B$78:$B$85,0),MATCH($M$77,$A$78:$H$78,0))*고양시_Modal_split!K$3 * 0.01</f>
        <v>8.5216104239667616E-3</v>
      </c>
      <c r="V84" s="206">
        <f>INDEX($A$78:$H$85,MATCH($L84,$B$78:$B$85,0),MATCH($M$77,$A$78:$H$78,0))*고양시_Modal_split!L$3 * 0.01</f>
        <v>0.1715684232025308</v>
      </c>
      <c r="W84" s="206">
        <f>INDEX($A$78:$H$85,MATCH($L84,$B$78:$B$85,0),MATCH($M$77,$A$78:$H$78,0))*고양시_Modal_split!M$3 * 0.01</f>
        <v>1.3066469316749032E-2</v>
      </c>
      <c r="X84" s="206">
        <f>INDEX($A$78:$H$85,MATCH($L84,$B$78:$B$85,0),MATCH($M$77,$A$78:$H$78,0))*고양시_Modal_split!N$3 * 0.01</f>
        <v>5.6810736159778408E-3</v>
      </c>
      <c r="Y84" s="206">
        <f>INDEX($A$78:$H$85,MATCH($L84,$B$78:$B$85,0),MATCH($M$77,$A$78:$H$78,0))*고양시_Modal_split!O$3 * 0.01</f>
        <v>1.0225932508760114E-2</v>
      </c>
      <c r="Z84" s="209">
        <f>INDEX($A$78:$H$85,MATCH($L84,$B$78:$B$85,0),MATCH($M$77,$A$78:$H$78,0))*고양시_Modal_split!P$3 * 0.01</f>
        <v>5.6810736159778417</v>
      </c>
      <c r="AA84" s="207">
        <f>INDEX($A$78:$H$85,MATCH($L84,$B$78:$B$85,0),MATCH($AA$77,$A$78:$H$78,0))*고양시_Modal_split!C$3 * 0.01</f>
        <v>0.11512225760711854</v>
      </c>
      <c r="AB84" s="207">
        <f>INDEX($A$78:$H$85,MATCH($L84,$B$78:$B$85,0),MATCH($AA$77,$A$78:$H$78,0))*고양시_Modal_split!D$3 * 0.01</f>
        <v>19.336427768795662</v>
      </c>
      <c r="AC84" s="207">
        <f>INDEX($A$78:$H$85,MATCH($L84,$B$78:$B$85,0),MATCH($AA$77,$A$78:$H$78,0))*고양시_Modal_split!E$3 * 0.01</f>
        <v>2.3394487349446589</v>
      </c>
      <c r="AD84" s="207">
        <f>INDEX($A$78:$H$85,MATCH($L84,$B$78:$B$85,0),MATCH($AA$77,$A$78:$H$78,0))*고양시_Modal_split!F$3 * 0.01</f>
        <v>3.7702539366331327</v>
      </c>
      <c r="AE84" s="207">
        <f>INDEX($A$78:$H$85,MATCH($L84,$B$78:$B$85,0),MATCH($AA$77,$A$78:$H$78,0))*고양시_Modal_split!G$3 * 0.01</f>
        <v>0.37825884642338947</v>
      </c>
      <c r="AF84" s="207">
        <f>INDEX($A$78:$H$85,MATCH($L84,$B$78:$B$85,0),MATCH($AA$77,$A$78:$H$78,0))*고양시_Modal_split!H$3 * 0.01</f>
        <v>4.1115092002542344E-3</v>
      </c>
      <c r="AG84" s="207">
        <f>INDEX($A$78:$H$85,MATCH($L84,$B$78:$B$85,0),MATCH($AA$77,$A$78:$H$78,0))*고양시_Modal_split!I$3 * 0.01</f>
        <v>1.1429995576706771</v>
      </c>
      <c r="AH84" s="207">
        <f>INDEX($A$78:$H$85,MATCH($L84,$B$78:$B$85,0),MATCH($AA$77,$A$78:$H$78,0))*고양시_Modal_split!J$3 * 0.01</f>
        <v>12.515434005573889</v>
      </c>
      <c r="AI84" s="207">
        <f>INDEX($A$78:$H$85,MATCH($L84,$B$78:$B$85,0),MATCH($AA$77,$A$78:$H$78,0))*고양시_Modal_split!K$3 * 0.01</f>
        <v>6.1672638003813507E-2</v>
      </c>
      <c r="AJ84" s="207">
        <f>INDEX($A$78:$H$85,MATCH($L84,$B$78:$B$85,0),MATCH($AA$77,$A$78:$H$78,0))*고양시_Modal_split!L$3 * 0.01</f>
        <v>1.2416757784767787</v>
      </c>
      <c r="AK84" s="207">
        <f>INDEX($A$78:$H$85,MATCH($L84,$B$78:$B$85,0),MATCH($AA$77,$A$78:$H$78,0))*고양시_Modal_split!M$3 * 0.01</f>
        <v>9.4564711605847368E-2</v>
      </c>
      <c r="AL84" s="207">
        <f>INDEX($A$78:$H$85,MATCH($L84,$B$78:$B$85,0),MATCH($AA$77,$A$78:$H$78,0))*고양시_Modal_split!N$3 * 0.01</f>
        <v>4.1115092002542347E-2</v>
      </c>
      <c r="AM84" s="207">
        <f>INDEX($A$78:$H$85,MATCH($L84,$B$78:$B$85,0),MATCH($AA$77,$A$78:$H$78,0))*고양시_Modal_split!O$3 * 0.01</f>
        <v>7.4007165604576208E-2</v>
      </c>
      <c r="AN84" s="207">
        <f>INDEX($A$78:$H$85,MATCH($L84,$B$78:$B$85,0),MATCH($AA$77,$A$78:$H$78,0))*고양시_Modal_split!P$3 * 0.01</f>
        <v>41.11509200254234</v>
      </c>
      <c r="AO84" s="303">
        <f>INDEX($A$78:$H$85,MATCH($L41,$B$78:$B$85,0),MATCH($AO$77,$A$78:$H$78,0))*고양시_Modal_split!C$3 * 0.01</f>
        <v>6.6042789674042712E-3</v>
      </c>
      <c r="AP84" s="303">
        <f>INDEX($A$78:$H$85,MATCH($L41,$B$78:$B$85,0),MATCH($AO$77,$A$78:$H$78,0))*고양시_Modal_split!D$3 * 0.01</f>
        <v>1.109282999417939</v>
      </c>
      <c r="AQ84" s="303">
        <f>INDEX($A$78:$H$85,MATCH($L41,$B$78:$B$85,0),MATCH($AO$77,$A$78:$H$78,0))*고양시_Modal_split!E$3 * 0.01</f>
        <v>0.13420838330189394</v>
      </c>
      <c r="AR84" s="303">
        <f>INDEX($A$78:$H$85,MATCH($L41,$B$78:$B$85,0),MATCH($AO$77,$A$78:$H$78,0))*고양시_Modal_split!F$3 * 0.01</f>
        <v>0.21629013618248991</v>
      </c>
      <c r="AS84" s="303">
        <f>INDEX($A$78:$H$85,MATCH($L41,$B$78:$B$85,0),MATCH($AO$77,$A$78:$H$78,0))*고양시_Modal_split!G$3 * 0.01</f>
        <v>2.1699773750042603E-2</v>
      </c>
      <c r="AT84" s="303">
        <f>INDEX($A$78:$H$85,MATCH($L41,$B$78:$B$85,0),MATCH($AO$77,$A$78:$H$78,0))*고양시_Modal_split!H$3 * 0.01</f>
        <v>2.3586710597872399E-4</v>
      </c>
      <c r="AU84" s="303">
        <f>INDEX($A$78:$H$85,MATCH($L41,$B$78:$B$85,0),MATCH($AO$77,$A$78:$H$78,0))*고양시_Modal_split!I$3 * 0.01</f>
        <v>6.5571055462085262E-2</v>
      </c>
      <c r="AV84" s="303">
        <f>INDEX($A$78:$H$85,MATCH($L41,$B$78:$B$85,0),MATCH($AO$77,$A$78:$H$78,0))*고양시_Modal_split!J$3 * 0.01</f>
        <v>0.71797947059923584</v>
      </c>
      <c r="AW84" s="303">
        <f>INDEX($A$78:$H$85,MATCH($L41,$B$78:$B$85,0),MATCH($AO$77,$A$78:$H$78,0))*고양시_Modal_split!K$3 * 0.01</f>
        <v>3.5380065896808595E-3</v>
      </c>
      <c r="AX84" s="303">
        <f>INDEX($A$78:$H$85,MATCH($L41,$B$78:$B$85,0),MATCH($AO$77,$A$78:$H$78,0))*고양시_Modal_split!L$3 * 0.01</f>
        <v>7.1231866005574643E-2</v>
      </c>
      <c r="AY84" s="303">
        <f>INDEX($A$78:$H$85,MATCH($L41,$B$78:$B$85,0),MATCH($AO$77,$A$78:$H$78,0))*고양시_Modal_split!M$3 * 0.01</f>
        <v>5.4249434375106508E-3</v>
      </c>
      <c r="AZ84" s="303">
        <f>INDEX($A$78:$H$85,MATCH($L41,$B$78:$B$85,0),MATCH($AO$77,$A$78:$H$78,0))*고양시_Modal_split!N$3 * 0.01</f>
        <v>2.3586710597872399E-3</v>
      </c>
      <c r="BA84" s="207">
        <f>INDEX($A$78:$H$85,MATCH($L41,$B$78:$B$85,0),MATCH($AO$77,$A$78:$H$78,0))*고양시_Modal_split!O$3 * 0.01</f>
        <v>4.2456079076170321E-3</v>
      </c>
      <c r="BB84" s="207">
        <f>INDEX($A$78:$H$85,MATCH($L41,$B$78:$B$85,0),MATCH($AO$77,$A$78:$H$78,0))*고양시_Modal_split!P$3 * 0.01</f>
        <v>2.3586710597872398</v>
      </c>
      <c r="BC84" s="207">
        <f>INDEX($A$78:$H$85,MATCH($L84,$B$78:$B$85,0),MATCH($BC$77,$A$78:$H$78,0))*고양시_Modal_split!C$3 * 0.01</f>
        <v>1.0378646884344095E-5</v>
      </c>
      <c r="BD84" s="207">
        <f>INDEX($A$78:$H$85,MATCH($L84,$B$78:$B$85,0),MATCH($BC$77,$A$78:$H$78,0))*고양시_Modal_split!D$3 * 0.01</f>
        <v>1.743242010609653E-3</v>
      </c>
      <c r="BE84" s="207">
        <f>INDEX($A$78:$H$85,MATCH($L84,$B$78:$B$85,0),MATCH($BC$77,$A$78:$H$78,0))*고양시_Modal_split!E$3 * 0.01</f>
        <v>2.1090893132827822E-4</v>
      </c>
      <c r="BF84" s="207">
        <f>INDEX($A$78:$H$85,MATCH($L84,$B$78:$B$85,0),MATCH($BC$77,$A$78:$H$78,0))*고양시_Modal_split!F$3 * 0.01</f>
        <v>3.3990068546226916E-4</v>
      </c>
      <c r="BG84" s="207">
        <f>INDEX($A$78:$H$85,MATCH($L84,$B$78:$B$85,0),MATCH($BC$77,$A$78:$H$78,0))*고양시_Modal_split!G$3 * 0.01</f>
        <v>3.4101268334273459E-5</v>
      </c>
      <c r="BH84" s="207">
        <f>INDEX($A$78:$H$85,MATCH($L84,$B$78:$B$85,0),MATCH($BC$77,$A$78:$H$78,0))*고양시_Modal_split!H$3 * 0.01</f>
        <v>3.7066596015514635E-7</v>
      </c>
      <c r="BI84" s="207">
        <f>INDEX($A$78:$H$85,MATCH($L84,$B$78:$B$85,0),MATCH($BC$77,$A$78:$H$78,0))*고양시_Modal_split!I$3 * 0.01</f>
        <v>1.0304513692313066E-4</v>
      </c>
      <c r="BJ84" s="207">
        <f>INDEX($A$78:$H$85,MATCH($L84,$B$78:$B$85,0),MATCH($BC$77,$A$78:$H$78,0))*고양시_Modal_split!J$3 * 0.01</f>
        <v>1.1283071827122655E-3</v>
      </c>
      <c r="BK84" s="207">
        <f>INDEX($A$78:$H$85,MATCH($L84,$B$78:$B$85,0),MATCH($BC$77,$A$78:$H$78,0))*고양시_Modal_split!K$3 * 0.01</f>
        <v>5.559989402327194E-6</v>
      </c>
      <c r="BL84" s="207">
        <f>INDEX($A$78:$H$85,MATCH($L84,$B$78:$B$85,0),MATCH($BC$77,$A$78:$H$78,0))*고양시_Modal_split!L$3 * 0.01</f>
        <v>1.1194111996685418E-4</v>
      </c>
      <c r="BM84" s="207">
        <f>INDEX($A$78:$H$85,MATCH($L84,$B$78:$B$85,0),MATCH($BC$77,$A$78:$H$78,0))*고양시_Modal_split!M$3 * 0.01</f>
        <v>8.5253170835683648E-6</v>
      </c>
      <c r="BN84" s="207">
        <f>INDEX($A$78:$H$85,MATCH($L84,$B$78:$B$85,0),MATCH($BC$77,$A$78:$H$78,0))*고양시_Modal_split!N$3 * 0.01</f>
        <v>3.7066596015514632E-6</v>
      </c>
      <c r="BO84" s="207">
        <f>INDEX($A$78:$H$85,MATCH($L84,$B$78:$B$85,0),MATCH($BC$77,$A$78:$H$78,0))*고양시_Modal_split!O$3 * 0.01</f>
        <v>6.6719872827926332E-6</v>
      </c>
      <c r="BP84" s="207">
        <f>INDEX($A$78:$H$85,MATCH($L84,$B$78:$B$85,0),MATCH($BC$77,$A$78:$H$78,0))*고양시_Modal_split!P$3 * 0.01</f>
        <v>3.7066596015514629E-3</v>
      </c>
      <c r="BQ84" s="207">
        <f>INDEX($A$78:$H$85,MATCH($L41,$B$78:$B$85,0),MATCH($BQ$77,$A$78:$H$78,0))*고양시_Modal_split!C$3 * 0.01</f>
        <v>3.9208221563077558E-5</v>
      </c>
      <c r="BR84" s="207">
        <f>INDEX($A$78:$H$85,MATCH($L41,$B$78:$B$85,0),MATCH($BQ$77,$A$78:$H$78,0))*고양시_Modal_split!D$3 * 0.01</f>
        <v>6.5855809289697776E-3</v>
      </c>
      <c r="BS84" s="207">
        <f>INDEX($A$78:$H$85,MATCH($L41,$B$78:$B$85,0),MATCH($BQ$77,$A$78:$H$78,0))*고양시_Modal_split!E$3 * 0.01</f>
        <v>7.9676707390682617E-4</v>
      </c>
      <c r="BT84" s="207">
        <f>INDEX($A$78:$H$85,MATCH($L41,$B$78:$B$85,0),MATCH($BQ$77,$A$78:$H$78,0))*고양시_Modal_split!F$3 * 0.01</f>
        <v>1.2840692561907902E-3</v>
      </c>
      <c r="BU84" s="207">
        <f>INDEX($A$78:$H$85,MATCH($L41,$B$78:$B$85,0),MATCH($BQ$77,$A$78:$H$78,0))*고양시_Modal_split!G$3 * 0.01</f>
        <v>1.2882701370725485E-4</v>
      </c>
      <c r="BV84" s="207">
        <f>INDEX($A$78:$H$85,MATCH($L41,$B$78:$B$85,0),MATCH($BQ$77,$A$78:$H$78,0))*고양시_Modal_split!H$3 * 0.01</f>
        <v>1.4002936272527701E-6</v>
      </c>
      <c r="BW84" s="207">
        <f>INDEX($A$78:$H$85,MATCH($L41,$B$78:$B$85,0),MATCH($BQ$77,$A$78:$H$78,0))*고양시_Modal_split!I$3 * 0.01</f>
        <v>3.8928162837627007E-4</v>
      </c>
      <c r="BX84" s="207">
        <f>INDEX($A$78:$H$85,MATCH($L41,$B$78:$B$85,0),MATCH($BQ$77,$A$78:$H$78,0))*고양시_Modal_split!J$3 * 0.01</f>
        <v>4.2624938013574318E-3</v>
      </c>
      <c r="BY84" s="207">
        <f>INDEX($A$78:$H$85,MATCH($L41,$B$78:$B$85,0),MATCH($BQ$77,$A$78:$H$78,0))*고양시_Modal_split!K$3 * 0.01</f>
        <v>2.1004404408791551E-5</v>
      </c>
      <c r="BZ84" s="207">
        <f>INDEX($A$78:$H$85,MATCH($L41,$B$78:$B$85,0),MATCH($BQ$77,$A$78:$H$78,0))*고양시_Modal_split!L$3 * 0.01</f>
        <v>4.2288867543033656E-4</v>
      </c>
      <c r="CA84" s="207">
        <f>INDEX($A$78:$H$85,MATCH($L41,$B$78:$B$85,0),MATCH($BQ$77,$A$78:$H$78,0))*고양시_Modal_split!M$3 * 0.01</f>
        <v>3.2206753426813711E-5</v>
      </c>
      <c r="CB84" s="207">
        <f>INDEX($A$78:$H$85,MATCH($L41,$B$78:$B$85,0),MATCH($BQ$77,$A$78:$H$78,0))*고양시_Modal_split!N$3 * 0.01</f>
        <v>1.40029362725277E-5</v>
      </c>
      <c r="CC84" s="207">
        <f>INDEX($A$78:$H$85,MATCH($L41,$B$78:$B$85,0),MATCH($BQ$77,$A$78:$H$78,0))*고양시_Modal_split!O$3 * 0.01</f>
        <v>2.5205285290549861E-5</v>
      </c>
      <c r="CD84" s="207">
        <f>INDEX($A$78:$H$85,MATCH($L41,$B$78:$B$85,0),MATCH($BQ$77,$A$78:$H$78,0))*고양시_Modal_split!P$3 * 0.01</f>
        <v>1.4002936272527701E-2</v>
      </c>
      <c r="CE84" s="304">
        <f t="shared" si="21"/>
        <v>0.1376831295677082</v>
      </c>
      <c r="CF84" s="304">
        <f t="shared" si="17"/>
        <v>23.125848512747559</v>
      </c>
      <c r="CG84" s="304">
        <f t="shared" si="17"/>
        <v>2.797917883000927</v>
      </c>
      <c r="CH84" s="304">
        <f t="shared" si="17"/>
        <v>4.5091224933424447</v>
      </c>
      <c r="CI84" s="304">
        <f t="shared" si="17"/>
        <v>0.4523874257224697</v>
      </c>
      <c r="CJ84" s="304">
        <f t="shared" si="17"/>
        <v>4.9172546274181507E-3</v>
      </c>
      <c r="CK84" s="304">
        <f t="shared" si="17"/>
        <v>1.3669967864222456</v>
      </c>
      <c r="CL84" s="304">
        <f t="shared" si="17"/>
        <v>14.968123085860849</v>
      </c>
      <c r="CM84" s="304">
        <f t="shared" si="17"/>
        <v>7.3758819411272242E-2</v>
      </c>
      <c r="CN84" s="304">
        <f t="shared" si="17"/>
        <v>1.4850108974802811</v>
      </c>
      <c r="CO84" s="304">
        <f t="shared" si="17"/>
        <v>0.11309685643061743</v>
      </c>
      <c r="CP84" s="304">
        <f t="shared" si="17"/>
        <v>4.9172546274181508E-2</v>
      </c>
      <c r="CQ84" s="304">
        <f t="shared" si="17"/>
        <v>8.8510583293526707E-2</v>
      </c>
      <c r="CR84" s="304">
        <f t="shared" si="17"/>
        <v>49.172546274181506</v>
      </c>
      <c r="CS84" s="305">
        <f t="shared" si="22"/>
        <v>0</v>
      </c>
      <c r="CV84" s="267"/>
      <c r="CW84" s="267" t="s">
        <v>720</v>
      </c>
      <c r="CX84" s="267">
        <f>INDEX($M$77:$Z$85,MATCH($CW84,$L$77:$L$85,0),MATCH(CX$78,$M$78:$Z$78,0))/INDEX(고양시_재차인원!$D$4:$H$35,MATCH("고양시",고양시_재차인원!$B$4:$B$35,0),MATCH($CX$77,고양시_재차인원!$D$4:$H$4,0))</f>
        <v>2.3855436799949805</v>
      </c>
      <c r="CY84" s="267">
        <f>INDEX($M$77:$Z$85,MATCH($CW84,$L$77:$L$85,0),MATCH(CY$78,$M$78:$Z$78,0))/INDEX(고양시_재차인원!$K$4:$O$20,MATCH("경기도",고양시_재차인원!$K$4:$K$20,0),MATCH(CY$78,고양시_재차인원!$K$4:$O$4,0))</f>
        <v>1.9732801722743454E-5</v>
      </c>
      <c r="CZ84" s="267">
        <f>INDEX($M$77:$Z$85,MATCH($CW84,$L$77:$L$85,0),MATCH(CZ$78,$M$78:$Z$78,0))/INDEX(고양시_재차인원!$K$4:$O$20,MATCH("경기도",고양시_재차인원!$K$4:$K$20,0),MATCH(CZ$78,고양시_재차인원!$K$4:$O$4,0))</f>
        <v>5.48571887892268E-3</v>
      </c>
      <c r="DA84" s="267">
        <f>INDEX($M$77:$Z$85,MATCH($CW84,$L$77:$L$85,0),MATCH(DA$78,$M$78:$Z$78,0))/INDEX(고양시_재차인원!$D$4:$H$35,MATCH("고양시",고양시_재차인원!$B$4:$B$35,0),MATCH($CX$77,고양시_재차인원!$D$4:$H$4,0))</f>
        <v>0.15318609214511678</v>
      </c>
      <c r="DB84" s="267">
        <f>INDEX($AA$77:$AN$85,MATCH($CW84,$L$77:$L$85,0),MATCH(DB$78,$AA$78:$AN$78,0))/INDEX(고양시_재차인원!$D$4:$H$35,MATCH("고양시",고양시_재차인원!$B$4:$B$35,0),MATCH($DB$77,고양시_재차인원!$D$4:$H$4,0))</f>
        <v>13.713778559429549</v>
      </c>
      <c r="DC84" s="267">
        <f>INDEX($AA$77:$AN$85,MATCH($CW84,$L$77:$L$85,0),MATCH(DC$78,$AA$78:$AN$78,0))/INDEX(고양시_재차인원!$K$4:$O$20,MATCH("경기도",고양시_재차인원!$K$4:$K$20,0),MATCH(DC$78,고양시_재차인원!$K$4:$O$4,0))</f>
        <v>1.4281032303766009E-4</v>
      </c>
      <c r="DD84" s="267">
        <f>INDEX($AA$77:$AN$85,MATCH($CW84,$L$77:$L$85,0),MATCH(DD$78,$AA$78:$AN$78,0))/INDEX(고양시_재차인원!$K$4:$O$20,MATCH("경기도",고양시_재차인원!$K$4:$K$20,0),MATCH(DD$78,고양시_재차인원!$K$4:$O$4,0))</f>
        <v>3.9701269804469509E-2</v>
      </c>
      <c r="DE84" s="267">
        <f>INDEX($AA$77:$AN$85,MATCH($CW84,$L$77:$L$85,0),MATCH(DE$78,$AA$78:$AN$78,0))/INDEX(고양시_재차인원!$D$4:$H$35,MATCH("고양시",고양시_재차인원!$B$4:$B$35,0),MATCH($DB$77,고양시_재차인원!$D$4:$H$4,0))</f>
        <v>0.88062111948707711</v>
      </c>
      <c r="DF84" s="267">
        <f>INDEX($AO$77:$BB$85,MATCH($CW84,$L$77:$L$85,0),MATCH(DF$78,$AO$78:$BB$78,0))/INDEX(고양시_재차인원!$D$4:$H$35,MATCH("고양시",고양시_재차인원!$B$4:$B$35,0),MATCH($DF$77,고양시_재차인원!$D$4:$H$4,0))</f>
        <v>0.85329461493687608</v>
      </c>
      <c r="DG84" s="267">
        <f>INDEX($AO$77:$BB$85,MATCH($CW84,$L$77:$L$85,0),MATCH(DG$78,$AO$78:$BB$78,0))/INDEX(고양시_재차인원!$K$4:$O$20,MATCH("경기도",고양시_재차인원!$K$4:$K$20,0),MATCH(DG$78,고양시_재차인원!$K$4:$O$4,0))</f>
        <v>8.1926747474374437E-6</v>
      </c>
      <c r="DH84" s="267">
        <f>INDEX($AO$77:$BB$85,MATCH($CW84,$L$77:$L$85,0),MATCH(DH$78,$AO$78:$BB$78,0))/INDEX(고양시_재차인원!$K$4:$O$20,MATCH("경기도",고양시_재차인원!$K$4:$K$20,0),MATCH(DH$78,고양시_재차인원!$K$4:$O$4,0))</f>
        <v>2.2775635797876092E-3</v>
      </c>
      <c r="DI84" s="267">
        <f>INDEX($AO$77:$BB$85,MATCH($CW84,$L$77:$L$85,0),MATCH(DI$78,$AO$78:$BB$78,0))/INDEX(고양시_재차인원!$D$4:$H$35,MATCH("고양시",고양시_재차인원!$B$4:$B$35,0),MATCH($DF$77,고양시_재차인원!$D$4:$H$4,0))</f>
        <v>5.4793743081211259E-2</v>
      </c>
      <c r="DJ84" s="267">
        <f>INDEX($BC$77:$BP$85,MATCH($CW84,$L$77:$L$85,0),MATCH(DJ$78,$BC$78:$BP$78,0))/INDEX(고양시_재차인원!$D$4:$H$35,MATCH("고양시",고양시_재차인원!$B$4:$B$35,0),MATCH($DJ$77,고양시_재차인원!$D$4:$H$4,0))</f>
        <v>1.2817955960365095E-3</v>
      </c>
      <c r="DK84" s="267">
        <f>INDEX($BC$77:$BP$85,MATCH($CW84,$L$77:$L$85,0),MATCH(DK$78,$BC$78:$BP$78,0))/INDEX(고양시_재차인원!$K$4:$O$20,MATCH("경기도",고양시_재차인원!$K$4:$K$20,0),MATCH(DK$78,고양시_재차인원!$K$4:$O$4,0))</f>
        <v>1.2874816261033218E-8</v>
      </c>
      <c r="DL84" s="267">
        <f>INDEX($BC$77:$BP$85,MATCH($CW84,$L$77:$L$85,0),MATCH(DL$78,$BC$78:$BP$78,0))/INDEX(고양시_재차인원!$K$4:$O$20,MATCH("경기도",고양시_재차인원!$K$4:$K$20,0),MATCH(DL$78,고양시_재차인원!$K$4:$O$4,0))</f>
        <v>3.5791989205672337E-6</v>
      </c>
      <c r="DM84" s="267">
        <f>INDEX($BC$77:$BP$85,MATCH($CW84,$L$77:$L$85,0),MATCH(DM$78,$BC$78:$BP$78,0))/INDEX(고양시_재차인원!$D$4:$H$35,MATCH("고양시",고양시_재차인원!$B$4:$B$35,0),MATCH($DJ$77,고양시_재차인원!$D$4:$H$4,0))</f>
        <v>8.2309647034451599E-5</v>
      </c>
      <c r="DN84" s="267">
        <f>INDEX($BQ$77:$CD$85,MATCH($CW84,$L$77:$L$85,0),MATCH(DN$78,$BQ$78:$CD$78,0))/INDEX(고양시_재차인원!$D$4:$H$35,MATCH("고양시",고양시_재차인원!$B$4:$B$35,0),MATCH($DN$77,고양시_재차인원!$D$4:$H$4,0))</f>
        <v>5.2266515309283947E-3</v>
      </c>
      <c r="DO84" s="267">
        <f>INDEX($BQ$77:$CD$85,MATCH($CW84,$L$77:$L$85,0),MATCH(DO$78,$BQ$78:$CD$78,0))/INDEX(고양시_재차인원!$K$4:$O$20,MATCH("경기도",고양시_재차인원!$K$4:$K$20,0),MATCH(DO$78,고양시_재차인원!$K$4:$O$4,0))</f>
        <v>4.86381947639031E-8</v>
      </c>
      <c r="DP84" s="267">
        <f>INDEX($BQ$77:$CD$85,MATCH($CW84,$L$77:$L$85,0),MATCH(DP$78,$BQ$78:$CD$78,0))/INDEX(고양시_재차인원!$K$4:$O$20,MATCH("경기도",고양시_재차인원!$K$4:$K$20,0),MATCH(DP$78,고양시_재차인원!$K$4:$O$4,0))</f>
        <v>1.352141814436506E-5</v>
      </c>
      <c r="DQ84" s="267">
        <f>INDEX($BQ$77:$CD$85,MATCH($CW84,$L$77:$L$85,0),MATCH(DQ$78,$BQ$78:$CD$78,0))/INDEX(고양시_재차인원!$D$4:$H$35,MATCH("고양시",고양시_재차인원!$B$4:$B$35,0),MATCH($DN$77,고양시_재차인원!$D$4:$H$4,0))</f>
        <v>3.3562593288121947E-4</v>
      </c>
      <c r="DR84" s="270">
        <f t="shared" si="23"/>
        <v>16.95912530148837</v>
      </c>
      <c r="DS84" s="270">
        <f t="shared" si="18"/>
        <v>1.7079731251886594E-4</v>
      </c>
      <c r="DT84" s="270">
        <f t="shared" si="18"/>
        <v>4.7481652880244724E-2</v>
      </c>
      <c r="DU84" s="270">
        <f t="shared" si="18"/>
        <v>1.0890188902933209</v>
      </c>
      <c r="DW84" s="278"/>
      <c r="DX84" s="278" t="s">
        <v>720</v>
      </c>
      <c r="DY84" s="281">
        <f t="shared" si="24"/>
        <v>18.048144191781692</v>
      </c>
      <c r="DZ84" s="281">
        <f t="shared" si="25"/>
        <v>4.7652450192763589E-2</v>
      </c>
      <c r="EB84" s="278"/>
      <c r="EC84" s="278" t="s">
        <v>13</v>
      </c>
      <c r="ED84" s="281">
        <f t="shared" si="26"/>
        <v>18.048144191781692</v>
      </c>
      <c r="EE84" s="281">
        <f t="shared" si="19"/>
        <v>4.7652450192763589E-2</v>
      </c>
      <c r="FE84" t="s">
        <v>12</v>
      </c>
      <c r="FF84" t="s">
        <v>361</v>
      </c>
      <c r="FG84">
        <v>8261.5616000000009</v>
      </c>
      <c r="FH84" s="277" t="e">
        <f t="shared" si="27"/>
        <v>#DIV/0!</v>
      </c>
    </row>
    <row r="85" spans="1:164" ht="37.5">
      <c r="A85" s="205"/>
      <c r="B85" s="205" t="s">
        <v>722</v>
      </c>
      <c r="C85" s="400">
        <f>$D14*KTDB_TripDistribution_2040!T$12 * (1+KTDB_발생량도착량_증가율!$C$7) * (1+KTDB_발생량도착량_증가율!$D$8*5) * (1+KTDB_발생량도착량_증가율!$E$8*5) * (1+KTDB_발생량도착량_증가율!$F$8*5)</f>
        <v>34.086441695867045</v>
      </c>
      <c r="D85" s="400">
        <f>$D14*KTDB_TripDistribution_2040!U$12 * (1+KTDB_발생량도착량_증가율!$C$7) * (1+KTDB_발생량도착량_증가율!$D$8*5) * (1+KTDB_발생량도착량_증가율!$E$8*5) * (1+KTDB_발생량도착량_증가율!$F$8*5)</f>
        <v>246.69055201525396</v>
      </c>
      <c r="E85" s="400">
        <f>$D14*KTDB_TripDistribution_2040!V$12 * (1+KTDB_발생량도착량_증가율!$C$7) * (1+KTDB_발생량도착량_증가율!$D$8*5) * (1+KTDB_발생량도착량_증가율!$E$8*5) * (1+KTDB_발생량도착량_증가율!$F$8*5)</f>
        <v>14.152026358723436</v>
      </c>
      <c r="F85" s="400">
        <f>$D14*KTDB_TripDistribution_2040!W$12 * (1+KTDB_발생량도착량_증가율!$C$7) * (1+KTDB_발생량도착량_증가율!$D$8*5) * (1+KTDB_발생량도착량_증가율!$E$8*5) * (1+KTDB_발생량도착량_증가율!$F$8*5)</f>
        <v>2.2239957609308771E-2</v>
      </c>
      <c r="G85" s="400">
        <f>$D14*KTDB_TripDistribution_2040!X$12 * (1+KTDB_발생량도착량_증가율!$C$7) * (1+KTDB_발생량도착량_증가율!$D$8*5) * (1+KTDB_발생량도착량_증가율!$E$8*5) * (1+KTDB_발생량도착량_증가율!$F$8*5)</f>
        <v>8.4017617635166214E-2</v>
      </c>
      <c r="H85" s="400">
        <f>$D14*KTDB_TripDistribution_2040!Y$12 * (1+KTDB_발생량도착량_증가율!$C$7) * (1+KTDB_발생량도착량_증가율!$D$8*5) * (1+KTDB_발생량도착량_증가율!$E$8*5) * (1+KTDB_발생량도착량_증가율!$F$8*5)</f>
        <v>295.03527764508897</v>
      </c>
      <c r="I85" s="56"/>
      <c r="J85" s="56"/>
      <c r="K85" s="206"/>
      <c r="L85" s="206" t="s">
        <v>722</v>
      </c>
      <c r="M85" s="206">
        <f>INDEX($A$78:$H$85,MATCH($L85,$B$78:$B$85,0),MATCH($M$77,$A$78:$H$78,0))*고양시_Modal_split!C$3 * 0.01</f>
        <v>9.5442036748427717E-2</v>
      </c>
      <c r="N85" s="206">
        <f>INDEX($A$78:$H$85,MATCH($L85,$B$78:$B$85,0),MATCH($M$77,$A$78:$H$78,0))*고양시_Modal_split!D$3 * 0.01</f>
        <v>16.030853529566272</v>
      </c>
      <c r="O85" s="206">
        <f>INDEX($A$78:$H$85,MATCH($L85,$B$78:$B$85,0),MATCH($M$77,$A$78:$H$78,0))*고양시_Modal_split!E$3 * 0.01</f>
        <v>1.9395185324948347</v>
      </c>
      <c r="P85" s="206">
        <f>INDEX($A$78:$H$85,MATCH($L85,$B$78:$B$85,0),MATCH($M$77,$A$78:$H$78,0))*고양시_Modal_split!F$3 * 0.01</f>
        <v>3.1257267035110079</v>
      </c>
      <c r="Q85" s="206">
        <f>INDEX($A$78:$H$85,MATCH($L85,$B$78:$B$85,0),MATCH($M$77,$A$78:$H$78,0))*고양시_Modal_split!G$3 * 0.01</f>
        <v>0.31359526360197681</v>
      </c>
      <c r="R85" s="206">
        <f>INDEX($A$78:$H$85,MATCH($L85,$B$78:$B$85,0),MATCH($M$77,$A$78:$H$78,0))*고양시_Modal_split!H$3 * 0.01</f>
        <v>3.4086441695867047E-3</v>
      </c>
      <c r="S85" s="206">
        <f>INDEX($A$78:$H$85,MATCH($L85,$B$78:$B$85,0),MATCH($M$77,$A$78:$H$78,0))*고양시_Modal_split!I$3 * 0.01</f>
        <v>0.94760307914510378</v>
      </c>
      <c r="T85" s="206">
        <f>INDEX($A$78:$H$85,MATCH($L85,$B$78:$B$85,0),MATCH($M$77,$A$78:$H$78,0))*고양시_Modal_split!J$3 * 0.01</f>
        <v>10.37591285222193</v>
      </c>
      <c r="U85" s="206">
        <f>INDEX($A$78:$H$85,MATCH($L85,$B$78:$B$85,0),MATCH($M$77,$A$78:$H$78,0))*고양시_Modal_split!K$3 * 0.01</f>
        <v>5.1129662543800566E-2</v>
      </c>
      <c r="V85" s="206">
        <f>INDEX($A$78:$H$85,MATCH($L85,$B$78:$B$85,0),MATCH($M$77,$A$78:$H$78,0))*고양시_Modal_split!L$3 * 0.01</f>
        <v>1.0294105392151847</v>
      </c>
      <c r="W85" s="206">
        <f>INDEX($A$78:$H$85,MATCH($L85,$B$78:$B$85,0),MATCH($M$77,$A$78:$H$78,0))*고양시_Modal_split!M$3 * 0.01</f>
        <v>7.8398815900494204E-2</v>
      </c>
      <c r="X85" s="206">
        <f>INDEX($A$78:$H$85,MATCH($L85,$B$78:$B$85,0),MATCH($M$77,$A$78:$H$78,0))*고양시_Modal_split!N$3 * 0.01</f>
        <v>3.4086441695867047E-2</v>
      </c>
      <c r="Y85" s="206">
        <f>INDEX($A$78:$H$85,MATCH($L85,$B$78:$B$85,0),MATCH($M$77,$A$78:$H$78,0))*고양시_Modal_split!O$3 * 0.01</f>
        <v>6.1355595052560677E-2</v>
      </c>
      <c r="Z85" s="209">
        <f>INDEX($A$78:$H$85,MATCH($L85,$B$78:$B$85,0),MATCH($M$77,$A$78:$H$78,0))*고양시_Modal_split!P$3 * 0.01</f>
        <v>34.086441695867045</v>
      </c>
      <c r="AA85" s="207">
        <f>INDEX($A$78:$H$85,MATCH($L85,$B$78:$B$85,0),MATCH($AA$77,$A$78:$H$78,0))*고양시_Modal_split!C$3 * 0.01</f>
        <v>0.69073354564271106</v>
      </c>
      <c r="AB85" s="207">
        <f>INDEX($A$78:$H$85,MATCH($L85,$B$78:$B$85,0),MATCH($AA$77,$A$78:$H$78,0))*고양시_Modal_split!D$3 * 0.01</f>
        <v>116.01856661277394</v>
      </c>
      <c r="AC85" s="207">
        <f>INDEX($A$78:$H$85,MATCH($L85,$B$78:$B$85,0),MATCH($AA$77,$A$78:$H$78,0))*고양시_Modal_split!E$3 * 0.01</f>
        <v>14.03669240966795</v>
      </c>
      <c r="AD85" s="207">
        <f>INDEX($A$78:$H$85,MATCH($L85,$B$78:$B$85,0),MATCH($AA$77,$A$78:$H$78,0))*고양시_Modal_split!F$3 * 0.01</f>
        <v>22.621523619798786</v>
      </c>
      <c r="AE85" s="207">
        <f>INDEX($A$78:$H$85,MATCH($L85,$B$78:$B$85,0),MATCH($AA$77,$A$78:$H$78,0))*고양시_Modal_split!G$3 * 0.01</f>
        <v>2.2695530785403366</v>
      </c>
      <c r="AF85" s="207">
        <f>INDEX($A$78:$H$85,MATCH($L85,$B$78:$B$85,0),MATCH($AA$77,$A$78:$H$78,0))*고양시_Modal_split!H$3 * 0.01</f>
        <v>2.4669055201525399E-2</v>
      </c>
      <c r="AG85" s="207">
        <f>INDEX($A$78:$H$85,MATCH($L85,$B$78:$B$85,0),MATCH($AA$77,$A$78:$H$78,0))*고양시_Modal_split!I$3 * 0.01</f>
        <v>6.8579973460240593</v>
      </c>
      <c r="AH85" s="207">
        <f>INDEX($A$78:$H$85,MATCH($L85,$B$78:$B$85,0),MATCH($AA$77,$A$78:$H$78,0))*고양시_Modal_split!J$3 * 0.01</f>
        <v>75.092604033443308</v>
      </c>
      <c r="AI85" s="207">
        <f>INDEX($A$78:$H$85,MATCH($L85,$B$78:$B$85,0),MATCH($AA$77,$A$78:$H$78,0))*고양시_Modal_split!K$3 * 0.01</f>
        <v>0.37003582802288093</v>
      </c>
      <c r="AJ85" s="207">
        <f>INDEX($A$78:$H$85,MATCH($L85,$B$78:$B$85,0),MATCH($AA$77,$A$78:$H$78,0))*고양시_Modal_split!L$3 * 0.01</f>
        <v>7.450054670860669</v>
      </c>
      <c r="AK85" s="207">
        <f>INDEX($A$78:$H$85,MATCH($L85,$B$78:$B$85,0),MATCH($AA$77,$A$78:$H$78,0))*고양시_Modal_split!M$3 * 0.01</f>
        <v>0.56738826963508415</v>
      </c>
      <c r="AL85" s="207">
        <f>INDEX($A$78:$H$85,MATCH($L85,$B$78:$B$85,0),MATCH($AA$77,$A$78:$H$78,0))*고양시_Modal_split!N$3 * 0.01</f>
        <v>0.24669055201525397</v>
      </c>
      <c r="AM85" s="207">
        <f>INDEX($A$78:$H$85,MATCH($L85,$B$78:$B$85,0),MATCH($AA$77,$A$78:$H$78,0))*고양시_Modal_split!O$3 * 0.01</f>
        <v>0.44404299362745714</v>
      </c>
      <c r="AN85" s="207">
        <f>INDEX($A$78:$H$85,MATCH($L85,$B$78:$B$85,0),MATCH($AA$77,$A$78:$H$78,0))*고양시_Modal_split!P$3 * 0.01</f>
        <v>246.69055201525396</v>
      </c>
      <c r="AO85" s="303">
        <f>INDEX($A$78:$H$85,MATCH($L42,$B$78:$B$85,0),MATCH($AO$77,$A$78:$H$78,0))*고양시_Modal_split!C$3 * 0.01</f>
        <v>3.9625673804425617E-2</v>
      </c>
      <c r="AP85" s="303">
        <f>INDEX($A$78:$H$85,MATCH($L42,$B$78:$B$85,0),MATCH($AO$77,$A$78:$H$78,0))*고양시_Modal_split!D$3 * 0.01</f>
        <v>6.6556979965076328</v>
      </c>
      <c r="AQ85" s="303">
        <f>INDEX($A$78:$H$85,MATCH($L42,$B$78:$B$85,0),MATCH($AO$77,$A$78:$H$78,0))*고양시_Modal_split!E$3 * 0.01</f>
        <v>0.80525029981136342</v>
      </c>
      <c r="AR85" s="303">
        <f>INDEX($A$78:$H$85,MATCH($L42,$B$78:$B$85,0),MATCH($AO$77,$A$78:$H$78,0))*고양시_Modal_split!F$3 * 0.01</f>
        <v>1.2977408170949392</v>
      </c>
      <c r="AS85" s="303">
        <f>INDEX($A$78:$H$85,MATCH($L42,$B$78:$B$85,0),MATCH($AO$77,$A$78:$H$78,0))*고양시_Modal_split!G$3 * 0.01</f>
        <v>0.13019864250025559</v>
      </c>
      <c r="AT85" s="303">
        <f>INDEX($A$78:$H$85,MATCH($L42,$B$78:$B$85,0),MATCH($AO$77,$A$78:$H$78,0))*고양시_Modal_split!H$3 * 0.01</f>
        <v>1.4152026358723434E-3</v>
      </c>
      <c r="AU85" s="303">
        <f>INDEX($A$78:$H$85,MATCH($L42,$B$78:$B$85,0),MATCH($AO$77,$A$78:$H$78,0))*고양시_Modal_split!I$3 * 0.01</f>
        <v>0.39342633277251154</v>
      </c>
      <c r="AV85" s="303">
        <f>INDEX($A$78:$H$85,MATCH($L42,$B$78:$B$85,0),MATCH($AO$77,$A$78:$H$78,0))*고양시_Modal_split!J$3 * 0.01</f>
        <v>4.3078768235954144</v>
      </c>
      <c r="AW85" s="303">
        <f>INDEX($A$78:$H$85,MATCH($L42,$B$78:$B$85,0),MATCH($AO$77,$A$78:$H$78,0))*고양시_Modal_split!K$3 * 0.01</f>
        <v>2.1228039538085157E-2</v>
      </c>
      <c r="AX85" s="303">
        <f>INDEX($A$78:$H$85,MATCH($L42,$B$78:$B$85,0),MATCH($AO$77,$A$78:$H$78,0))*고양시_Modal_split!L$3 * 0.01</f>
        <v>0.42739119603344777</v>
      </c>
      <c r="AY85" s="303">
        <f>INDEX($A$78:$H$85,MATCH($L42,$B$78:$B$85,0),MATCH($AO$77,$A$78:$H$78,0))*고양시_Modal_split!M$3 * 0.01</f>
        <v>3.2549660625063898E-2</v>
      </c>
      <c r="AZ85" s="303">
        <f>INDEX($A$78:$H$85,MATCH($L42,$B$78:$B$85,0),MATCH($AO$77,$A$78:$H$78,0))*고양시_Modal_split!N$3 * 0.01</f>
        <v>1.4152026358723438E-2</v>
      </c>
      <c r="BA85" s="207">
        <f>INDEX($A$78:$H$85,MATCH($L42,$B$78:$B$85,0),MATCH($AO$77,$A$78:$H$78,0))*고양시_Modal_split!O$3 * 0.01</f>
        <v>2.5473647445702186E-2</v>
      </c>
      <c r="BB85" s="207">
        <f>INDEX($A$78:$H$85,MATCH($L42,$B$78:$B$85,0),MATCH($AO$77,$A$78:$H$78,0))*고양시_Modal_split!P$3 * 0.01</f>
        <v>14.152026358723436</v>
      </c>
      <c r="BC85" s="207">
        <f>INDEX($A$78:$H$85,MATCH($L85,$B$78:$B$85,0),MATCH($BC$77,$A$78:$H$78,0))*고양시_Modal_split!C$3 * 0.01</f>
        <v>6.2271881306064558E-5</v>
      </c>
      <c r="BD85" s="207">
        <f>INDEX($A$78:$H$85,MATCH($L85,$B$78:$B$85,0),MATCH($BC$77,$A$78:$H$78,0))*고양시_Modal_split!D$3 * 0.01</f>
        <v>1.0459452063657915E-2</v>
      </c>
      <c r="BE85" s="207">
        <f>INDEX($A$78:$H$85,MATCH($L85,$B$78:$B$85,0),MATCH($BC$77,$A$78:$H$78,0))*고양시_Modal_split!E$3 * 0.01</f>
        <v>1.265453587969669E-3</v>
      </c>
      <c r="BF85" s="207">
        <f>INDEX($A$78:$H$85,MATCH($L85,$B$78:$B$85,0),MATCH($BC$77,$A$78:$H$78,0))*고양시_Modal_split!F$3 * 0.01</f>
        <v>2.0394041127736141E-3</v>
      </c>
      <c r="BG85" s="207">
        <f>INDEX($A$78:$H$85,MATCH($L85,$B$78:$B$85,0),MATCH($BC$77,$A$78:$H$78,0))*고양시_Modal_split!G$3 * 0.01</f>
        <v>2.0460761000564069E-4</v>
      </c>
      <c r="BH85" s="207">
        <f>INDEX($A$78:$H$85,MATCH($L85,$B$78:$B$85,0),MATCH($BC$77,$A$78:$H$78,0))*고양시_Modal_split!H$3 * 0.01</f>
        <v>2.2239957609308774E-6</v>
      </c>
      <c r="BI85" s="207">
        <f>INDEX($A$78:$H$85,MATCH($L85,$B$78:$B$85,0),MATCH($BC$77,$A$78:$H$78,0))*고양시_Modal_split!I$3 * 0.01</f>
        <v>6.1827082153878381E-4</v>
      </c>
      <c r="BJ85" s="207">
        <f>INDEX($A$78:$H$85,MATCH($L85,$B$78:$B$85,0),MATCH($BC$77,$A$78:$H$78,0))*고양시_Modal_split!J$3 * 0.01</f>
        <v>6.76984309627359E-3</v>
      </c>
      <c r="BK85" s="207">
        <f>INDEX($A$78:$H$85,MATCH($L85,$B$78:$B$85,0),MATCH($BC$77,$A$78:$H$78,0))*고양시_Modal_split!K$3 * 0.01</f>
        <v>3.3359936413963159E-5</v>
      </c>
      <c r="BL85" s="207">
        <f>INDEX($A$78:$H$85,MATCH($L85,$B$78:$B$85,0),MATCH($BC$77,$A$78:$H$78,0))*고양시_Modal_split!L$3 * 0.01</f>
        <v>6.7164671980112487E-4</v>
      </c>
      <c r="BM85" s="207">
        <f>INDEX($A$78:$H$85,MATCH($L85,$B$78:$B$85,0),MATCH($BC$77,$A$78:$H$78,0))*고양시_Modal_split!M$3 * 0.01</f>
        <v>5.1151902501410172E-5</v>
      </c>
      <c r="BN85" s="207">
        <f>INDEX($A$78:$H$85,MATCH($L85,$B$78:$B$85,0),MATCH($BC$77,$A$78:$H$78,0))*고양시_Modal_split!N$3 * 0.01</f>
        <v>2.2239957609308773E-5</v>
      </c>
      <c r="BO85" s="207">
        <f>INDEX($A$78:$H$85,MATCH($L85,$B$78:$B$85,0),MATCH($BC$77,$A$78:$H$78,0))*고양시_Modal_split!O$3 * 0.01</f>
        <v>4.0031923696755785E-5</v>
      </c>
      <c r="BP85" s="207">
        <f>INDEX($A$78:$H$85,MATCH($L85,$B$78:$B$85,0),MATCH($BC$77,$A$78:$H$78,0))*고양시_Modal_split!P$3 * 0.01</f>
        <v>2.2239957609308771E-2</v>
      </c>
      <c r="BQ85" s="207">
        <f>INDEX($A$78:$H$85,MATCH($L42,$B$78:$B$85,0),MATCH($BQ$77,$A$78:$H$78,0))*고양시_Modal_split!C$3 * 0.01</f>
        <v>2.3524932937846538E-4</v>
      </c>
      <c r="BR85" s="207">
        <f>INDEX($A$78:$H$85,MATCH($L42,$B$78:$B$85,0),MATCH($BQ$77,$A$78:$H$78,0))*고양시_Modal_split!D$3 * 0.01</f>
        <v>3.9513485573818674E-2</v>
      </c>
      <c r="BS85" s="207">
        <f>INDEX($A$78:$H$85,MATCH($L42,$B$78:$B$85,0),MATCH($BQ$77,$A$78:$H$78,0))*고양시_Modal_split!E$3 * 0.01</f>
        <v>4.7806024434409577E-3</v>
      </c>
      <c r="BT85" s="207">
        <f>INDEX($A$78:$H$85,MATCH($L42,$B$78:$B$85,0),MATCH($BQ$77,$A$78:$H$78,0))*고양시_Modal_split!F$3 * 0.01</f>
        <v>7.7044155371447419E-3</v>
      </c>
      <c r="BU85" s="207">
        <f>INDEX($A$78:$H$85,MATCH($L42,$B$78:$B$85,0),MATCH($BQ$77,$A$78:$H$78,0))*고양시_Modal_split!G$3 * 0.01</f>
        <v>7.7296208224352913E-4</v>
      </c>
      <c r="BV85" s="207">
        <f>INDEX($A$78:$H$85,MATCH($L42,$B$78:$B$85,0),MATCH($BQ$77,$A$78:$H$78,0))*고양시_Modal_split!H$3 * 0.01</f>
        <v>8.4017617635166216E-6</v>
      </c>
      <c r="BW85" s="207">
        <f>INDEX($A$78:$H$85,MATCH($L42,$B$78:$B$85,0),MATCH($BQ$77,$A$78:$H$78,0))*고양시_Modal_split!I$3 * 0.01</f>
        <v>2.3356897702576209E-3</v>
      </c>
      <c r="BX85" s="207">
        <f>INDEX($A$78:$H$85,MATCH($L42,$B$78:$B$85,0),MATCH($BQ$77,$A$78:$H$78,0))*고양시_Modal_split!J$3 * 0.01</f>
        <v>2.5574962808144596E-2</v>
      </c>
      <c r="BY85" s="207">
        <f>INDEX($A$78:$H$85,MATCH($L42,$B$78:$B$85,0),MATCH($BQ$77,$A$78:$H$78,0))*고양시_Modal_split!K$3 * 0.01</f>
        <v>1.2602642645274931E-4</v>
      </c>
      <c r="BZ85" s="207">
        <f>INDEX($A$78:$H$85,MATCH($L42,$B$78:$B$85,0),MATCH($BQ$77,$A$78:$H$78,0))*고양시_Modal_split!L$3 * 0.01</f>
        <v>2.5373320525820197E-3</v>
      </c>
      <c r="CA85" s="207">
        <f>INDEX($A$78:$H$85,MATCH($L42,$B$78:$B$85,0),MATCH($BQ$77,$A$78:$H$78,0))*고양시_Modal_split!M$3 * 0.01</f>
        <v>1.9324052056088228E-4</v>
      </c>
      <c r="CB85" s="207">
        <f>INDEX($A$78:$H$85,MATCH($L42,$B$78:$B$85,0),MATCH($BQ$77,$A$78:$H$78,0))*고양시_Modal_split!N$3 * 0.01</f>
        <v>8.4017617635166229E-5</v>
      </c>
      <c r="CC85" s="207">
        <f>INDEX($A$78:$H$85,MATCH($L42,$B$78:$B$85,0),MATCH($BQ$77,$A$78:$H$78,0))*고양시_Modal_split!O$3 * 0.01</f>
        <v>1.5123171174329919E-4</v>
      </c>
      <c r="CD85" s="207">
        <f>INDEX($A$78:$H$85,MATCH($L42,$B$78:$B$85,0),MATCH($BQ$77,$A$78:$H$78,0))*고양시_Modal_split!P$3 * 0.01</f>
        <v>8.4017617635166214E-2</v>
      </c>
      <c r="CE85" s="304">
        <f t="shared" si="21"/>
        <v>0.82609877740624882</v>
      </c>
      <c r="CF85" s="304">
        <f t="shared" si="17"/>
        <v>138.75509107648531</v>
      </c>
      <c r="CG85" s="304">
        <f t="shared" si="17"/>
        <v>16.787507298005558</v>
      </c>
      <c r="CH85" s="304">
        <f t="shared" si="17"/>
        <v>27.054734960054653</v>
      </c>
      <c r="CI85" s="304">
        <f t="shared" si="17"/>
        <v>2.7143245543348185</v>
      </c>
      <c r="CJ85" s="304">
        <f t="shared" si="17"/>
        <v>2.9503527764508895E-2</v>
      </c>
      <c r="CK85" s="304">
        <f t="shared" si="17"/>
        <v>8.2019807185334699</v>
      </c>
      <c r="CL85" s="304">
        <f t="shared" si="17"/>
        <v>89.808738515165075</v>
      </c>
      <c r="CM85" s="304">
        <f t="shared" si="17"/>
        <v>0.44255291646763339</v>
      </c>
      <c r="CN85" s="304">
        <f t="shared" si="17"/>
        <v>8.9100653848816833</v>
      </c>
      <c r="CO85" s="304">
        <f t="shared" si="17"/>
        <v>0.67858113858370461</v>
      </c>
      <c r="CP85" s="304">
        <f t="shared" si="17"/>
        <v>0.29503527764508891</v>
      </c>
      <c r="CQ85" s="304">
        <f t="shared" si="17"/>
        <v>0.53106349976116007</v>
      </c>
      <c r="CR85" s="304">
        <f t="shared" si="17"/>
        <v>295.03527764508891</v>
      </c>
      <c r="CS85" s="305">
        <f t="shared" si="22"/>
        <v>0</v>
      </c>
      <c r="CV85" s="267"/>
      <c r="CW85" s="267" t="s">
        <v>722</v>
      </c>
      <c r="CX85" s="267">
        <f>INDEX($M$77:$Z$85,MATCH($CW85,$L$77:$L$85,0),MATCH(CX$78,$M$78:$Z$78,0))/INDEX(고양시_재차인원!$D$4:$H$35,MATCH("고양시",고양시_재차인원!$B$4:$B$35,0),MATCH($CX$77,고양시_재차인원!$D$4:$H$4,0))</f>
        <v>14.313262079969885</v>
      </c>
      <c r="CY85" s="267">
        <f>INDEX($M$77:$Z$85,MATCH($CW85,$L$77:$L$85,0),MATCH(CY$78,$M$78:$Z$78,0))/INDEX(고양시_재차인원!$K$4:$O$20,MATCH("경기도",고양시_재차인원!$K$4:$K$20,0),MATCH(CY$78,고양시_재차인원!$K$4:$O$4,0))</f>
        <v>1.1839681033646074E-4</v>
      </c>
      <c r="CZ85" s="267">
        <f>INDEX($M$77:$Z$85,MATCH($CW85,$L$77:$L$85,0),MATCH(CZ$78,$M$78:$Z$78,0))/INDEX(고양시_재차인원!$K$4:$O$20,MATCH("경기도",고양시_재차인원!$K$4:$K$20,0),MATCH(CZ$78,고양시_재차인원!$K$4:$O$4,0))</f>
        <v>3.2914313273536083E-2</v>
      </c>
      <c r="DA85" s="267">
        <f>INDEX($M$77:$Z$85,MATCH($CW85,$L$77:$L$85,0),MATCH(DA$78,$M$78:$Z$78,0))/INDEX(고양시_재차인원!$D$4:$H$35,MATCH("고양시",고양시_재차인원!$B$4:$B$35,0),MATCH($CX$77,고양시_재차인원!$D$4:$H$4,0))</f>
        <v>0.91911655287070049</v>
      </c>
      <c r="DB85" s="267">
        <f>INDEX($AA$77:$AN$85,MATCH($CW85,$L$77:$L$85,0),MATCH(DB$78,$AA$78:$AN$78,0))/INDEX(고양시_재차인원!$D$4:$H$35,MATCH("고양시",고양시_재차인원!$B$4:$B$35,0),MATCH($DB$77,고양시_재차인원!$D$4:$H$4,0))</f>
        <v>82.282671356577268</v>
      </c>
      <c r="DC85" s="267">
        <f>INDEX($AA$77:$AN$85,MATCH($CW85,$L$77:$L$85,0),MATCH(DC$78,$AA$78:$AN$78,0))/INDEX(고양시_재차인원!$K$4:$O$20,MATCH("경기도",고양시_재차인원!$K$4:$K$20,0),MATCH(DC$78,고양시_재차인원!$K$4:$O$4,0))</f>
        <v>8.5686193822596035E-4</v>
      </c>
      <c r="DD85" s="267">
        <f>INDEX($AA$77:$AN$85,MATCH($CW85,$L$77:$L$85,0),MATCH(DD$78,$AA$78:$AN$78,0))/INDEX(고양시_재차인원!$K$4:$O$20,MATCH("경기도",고양시_재차인원!$K$4:$K$20,0),MATCH(DD$78,고양시_재차인원!$K$4:$O$4,0))</f>
        <v>0.23820761882681693</v>
      </c>
      <c r="DE85" s="267">
        <f>INDEX($AA$77:$AN$85,MATCH($CW85,$L$77:$L$85,0),MATCH(DE$78,$AA$78:$AN$78,0))/INDEX(고양시_재차인원!$D$4:$H$35,MATCH("고양시",고양시_재차인원!$B$4:$B$35,0),MATCH($DB$77,고양시_재차인원!$D$4:$H$4,0))</f>
        <v>5.2837267169224607</v>
      </c>
      <c r="DF85" s="267">
        <f>INDEX($AO$77:$BB$85,MATCH($CW85,$L$77:$L$85,0),MATCH(DF$78,$AO$78:$BB$78,0))/INDEX(고양시_재차인원!$D$4:$H$35,MATCH("고양시",고양시_재차인원!$B$4:$B$35,0),MATCH($DF$77,고양시_재차인원!$D$4:$H$4,0))</f>
        <v>5.1197676896212556</v>
      </c>
      <c r="DG85" s="267">
        <f>INDEX($AO$77:$BB$85,MATCH($CW85,$L$77:$L$85,0),MATCH(DG$78,$AO$78:$BB$78,0))/INDEX(고양시_재차인원!$K$4:$O$20,MATCH("경기도",고양시_재차인원!$K$4:$K$20,0),MATCH(DG$78,고양시_재차인원!$K$4:$O$4,0))</f>
        <v>4.9156048484624642E-5</v>
      </c>
      <c r="DH85" s="267">
        <f>INDEX($AO$77:$BB$85,MATCH($CW85,$L$77:$L$85,0),MATCH(DH$78,$AO$78:$BB$78,0))/INDEX(고양시_재차인원!$K$4:$O$20,MATCH("경기도",고양시_재차인원!$K$4:$K$20,0),MATCH(DH$78,고양시_재차인원!$K$4:$O$4,0))</f>
        <v>1.3665381478725654E-2</v>
      </c>
      <c r="DI85" s="267">
        <f>INDEX($AO$77:$BB$85,MATCH($CW85,$L$77:$L$85,0),MATCH(DI$78,$AO$78:$BB$78,0))/INDEX(고양시_재차인원!$D$4:$H$35,MATCH("고양시",고양시_재차인원!$B$4:$B$35,0),MATCH($DF$77,고양시_재차인원!$D$4:$H$4,0))</f>
        <v>0.32876245848726748</v>
      </c>
      <c r="DJ85" s="267">
        <f>INDEX($BC$77:$BP$85,MATCH($CW85,$L$77:$L$85,0),MATCH(DJ$78,$BC$78:$BP$78,0))/INDEX(고양시_재차인원!$D$4:$H$35,MATCH("고양시",고양시_재차인원!$B$4:$B$35,0),MATCH($DJ$77,고양시_재차인원!$D$4:$H$4,0))</f>
        <v>7.6907735762190548E-3</v>
      </c>
      <c r="DK85" s="267">
        <f>INDEX($BC$77:$BP$85,MATCH($CW85,$L$77:$L$85,0),MATCH(DK$78,$BC$78:$BP$78,0))/INDEX(고양시_재차인원!$K$4:$O$20,MATCH("경기도",고양시_재차인원!$K$4:$K$20,0),MATCH(DK$78,고양시_재차인원!$K$4:$O$4,0))</f>
        <v>7.7248897566199282E-8</v>
      </c>
      <c r="DL85" s="267">
        <f>INDEX($BC$77:$BP$85,MATCH($CW85,$L$77:$L$85,0),MATCH(DL$78,$BC$78:$BP$78,0))/INDEX(고양시_재차인원!$K$4:$O$20,MATCH("경기도",고양시_재차인원!$K$4:$K$20,0),MATCH(DL$78,고양시_재차인원!$K$4:$O$4,0))</f>
        <v>2.1475193523403398E-5</v>
      </c>
      <c r="DM85" s="267">
        <f>INDEX($BC$77:$BP$85,MATCH($CW85,$L$77:$L$85,0),MATCH(DM$78,$BC$78:$BP$78,0))/INDEX(고양시_재차인원!$D$4:$H$35,MATCH("고양시",고양시_재차인원!$B$4:$B$35,0),MATCH($DJ$77,고양시_재차인원!$D$4:$H$4,0))</f>
        <v>4.9385788220670938E-4</v>
      </c>
      <c r="DN85" s="267">
        <f>INDEX($BQ$77:$CD$85,MATCH($CW85,$L$77:$L$85,0),MATCH(DN$78,$BQ$78:$CD$78,0))/INDEX(고양시_재차인원!$D$4:$H$35,MATCH("고양시",고양시_재차인원!$B$4:$B$35,0),MATCH($DN$77,고양시_재차인원!$D$4:$H$4,0))</f>
        <v>3.1359909185570377E-2</v>
      </c>
      <c r="DO85" s="267">
        <f>INDEX($BQ$77:$CD$85,MATCH($CW85,$L$77:$L$85,0),MATCH(DO$78,$BQ$78:$CD$78,0))/INDEX(고양시_재차인원!$K$4:$O$20,MATCH("경기도",고양시_재차인원!$K$4:$K$20,0),MATCH(DO$78,고양시_재차인원!$K$4:$O$4,0))</f>
        <v>2.918291685834186E-7</v>
      </c>
      <c r="DP85" s="267">
        <f>INDEX($BQ$77:$CD$85,MATCH($CW85,$L$77:$L$85,0),MATCH(DP$78,$BQ$78:$CD$78,0))/INDEX(고양시_재차인원!$K$4:$O$20,MATCH("경기도",고양시_재차인원!$K$4:$K$20,0),MATCH(DP$78,고양시_재차인원!$K$4:$O$4,0))</f>
        <v>8.1128508866190382E-5</v>
      </c>
      <c r="DQ85" s="267">
        <f>INDEX($BQ$77:$CD$85,MATCH($CW85,$L$77:$L$85,0),MATCH(DQ$78,$BQ$78:$CD$78,0))/INDEX(고양시_재차인원!$D$4:$H$35,MATCH("고양시",고양시_재차인원!$B$4:$B$35,0),MATCH($DN$77,고양시_재차인원!$D$4:$H$4,0))</f>
        <v>2.0137555972873171E-3</v>
      </c>
      <c r="DR85" s="270">
        <f t="shared" si="23"/>
        <v>101.75475180893019</v>
      </c>
      <c r="DS85" s="270">
        <f t="shared" si="18"/>
        <v>1.0247838751131953E-3</v>
      </c>
      <c r="DT85" s="270">
        <f t="shared" si="18"/>
        <v>0.28488991728146829</v>
      </c>
      <c r="DU85" s="270">
        <f t="shared" si="18"/>
        <v>6.5341133417599231</v>
      </c>
      <c r="DW85" s="278"/>
      <c r="DX85" s="278" t="s">
        <v>722</v>
      </c>
      <c r="DY85" s="281">
        <f t="shared" si="24"/>
        <v>108.28886515069011</v>
      </c>
      <c r="DZ85" s="281">
        <f t="shared" si="25"/>
        <v>0.28591470115658146</v>
      </c>
      <c r="EB85" s="278"/>
      <c r="EC85" s="278" t="s">
        <v>301</v>
      </c>
      <c r="ED85" s="281">
        <f t="shared" si="26"/>
        <v>108.28886515069011</v>
      </c>
      <c r="EE85" s="281">
        <f t="shared" si="19"/>
        <v>0.28591470115658146</v>
      </c>
      <c r="FE85" t="s">
        <v>12</v>
      </c>
      <c r="FF85" t="s">
        <v>362</v>
      </c>
      <c r="FG85">
        <v>22890.217400000001</v>
      </c>
      <c r="FH85" s="277" t="e">
        <f t="shared" si="27"/>
        <v>#DIV/0!</v>
      </c>
    </row>
    <row r="86" spans="1:164">
      <c r="H86">
        <f>SUM(H79:H85)</f>
        <v>2151.7906249581824</v>
      </c>
      <c r="I86" t="b">
        <f>H86=SUM(D8:D10,D11:D14)  * (1+KTDB_발생량도착량_증가율!$C$8)</f>
        <v>0</v>
      </c>
      <c r="DW86" s="278"/>
      <c r="DX86" s="278" t="s">
        <v>26</v>
      </c>
      <c r="DY86" s="281">
        <f>SUM(DY79:DY85)</f>
        <v>789.78678983236671</v>
      </c>
      <c r="DZ86" s="281">
        <f>SUM(DZ79:DZ85)</f>
        <v>2.0852712204353345</v>
      </c>
      <c r="EC86" s="278" t="s">
        <v>26</v>
      </c>
      <c r="ED86" s="281">
        <f>DY86</f>
        <v>789.78678983236671</v>
      </c>
      <c r="EE86" s="281">
        <f>DZ86</f>
        <v>2.0852712204353345</v>
      </c>
    </row>
    <row r="87" spans="1:164">
      <c r="ED87" s="230">
        <f>SUM(ED79:ED85)-ED86</f>
        <v>0</v>
      </c>
      <c r="EE87" s="230" t="b">
        <f>SUM(EE79:EE85)=EE86</f>
        <v>1</v>
      </c>
    </row>
  </sheetData>
  <mergeCells count="46">
    <mergeCell ref="X20:X21"/>
    <mergeCell ref="U24:U25"/>
    <mergeCell ref="M34:Z34"/>
    <mergeCell ref="AA34:AN34"/>
    <mergeCell ref="AO34:BB34"/>
    <mergeCell ref="T18:T27"/>
    <mergeCell ref="V20:V21"/>
    <mergeCell ref="W20:W21"/>
    <mergeCell ref="DJ34:DM34"/>
    <mergeCell ref="DN34:DQ34"/>
    <mergeCell ref="DR34:DU34"/>
    <mergeCell ref="DY34:DZ34"/>
    <mergeCell ref="BC34:BP34"/>
    <mergeCell ref="BQ34:CD34"/>
    <mergeCell ref="CE34:CR34"/>
    <mergeCell ref="CX34:DA34"/>
    <mergeCell ref="DB34:DE34"/>
    <mergeCell ref="ED34:EE34"/>
    <mergeCell ref="M77:Z77"/>
    <mergeCell ref="AA77:AN77"/>
    <mergeCell ref="AO77:BB77"/>
    <mergeCell ref="BC77:BP77"/>
    <mergeCell ref="BQ77:CD77"/>
    <mergeCell ref="CE77:CR77"/>
    <mergeCell ref="CX77:DA77"/>
    <mergeCell ref="DB77:DE77"/>
    <mergeCell ref="DF77:DI77"/>
    <mergeCell ref="DJ77:DM77"/>
    <mergeCell ref="DN77:DQ77"/>
    <mergeCell ref="DR77:DU77"/>
    <mergeCell ref="DY77:DZ77"/>
    <mergeCell ref="ED77:EE77"/>
    <mergeCell ref="DF34:DI34"/>
    <mergeCell ref="AB7:AC8"/>
    <mergeCell ref="AE7:AG7"/>
    <mergeCell ref="A16:B16"/>
    <mergeCell ref="A6:B7"/>
    <mergeCell ref="C6:C7"/>
    <mergeCell ref="D6:F6"/>
    <mergeCell ref="AB6:AC6"/>
    <mergeCell ref="X10:X11"/>
    <mergeCell ref="U14:U15"/>
    <mergeCell ref="T7:V7"/>
    <mergeCell ref="T8:T17"/>
    <mergeCell ref="V10:V11"/>
    <mergeCell ref="W10:W1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R188"/>
  <sheetViews>
    <sheetView topLeftCell="W1" zoomScale="70" zoomScaleNormal="70" workbookViewId="0">
      <selection activeCell="W3" sqref="W3"/>
    </sheetView>
  </sheetViews>
  <sheetFormatPr defaultRowHeight="17"/>
  <cols>
    <col min="1" max="1" width="8.6640625" customWidth="1"/>
    <col min="13" max="13" width="11.9140625" bestFit="1" customWidth="1"/>
    <col min="17" max="17" width="11.75" bestFit="1" customWidth="1"/>
    <col min="22" max="22" width="15.08203125" bestFit="1" customWidth="1"/>
    <col min="46" max="46" width="15.08203125" bestFit="1" customWidth="1"/>
    <col min="142" max="142" width="29.75" bestFit="1" customWidth="1"/>
  </cols>
  <sheetData>
    <row r="1" spans="1:52">
      <c r="A1" s="32" t="s">
        <v>234</v>
      </c>
      <c r="B1" t="s">
        <v>237</v>
      </c>
      <c r="V1" s="32" t="s">
        <v>242</v>
      </c>
      <c r="W1" t="s">
        <v>241</v>
      </c>
    </row>
    <row r="2" spans="1:52">
      <c r="B2" t="s">
        <v>153</v>
      </c>
      <c r="C2" t="s">
        <v>864</v>
      </c>
      <c r="W2" t="s">
        <v>239</v>
      </c>
      <c r="X2" t="s">
        <v>240</v>
      </c>
    </row>
    <row r="3" spans="1:52">
      <c r="W3" t="s">
        <v>238</v>
      </c>
    </row>
    <row r="4" spans="1:52" ht="20.5">
      <c r="AR4" s="364" t="s">
        <v>773</v>
      </c>
      <c r="AZ4" s="364" t="s">
        <v>773</v>
      </c>
    </row>
    <row r="5" spans="1:52" ht="20.5">
      <c r="AP5" s="364" t="s">
        <v>780</v>
      </c>
      <c r="AR5" t="s">
        <v>772</v>
      </c>
    </row>
    <row r="6" spans="1:52">
      <c r="AP6" t="s">
        <v>779</v>
      </c>
      <c r="AR6" t="s">
        <v>776</v>
      </c>
      <c r="AZ6" s="32" t="s">
        <v>777</v>
      </c>
    </row>
    <row r="7" spans="1:52">
      <c r="AO7" t="s">
        <v>781</v>
      </c>
      <c r="AP7" t="s">
        <v>775</v>
      </c>
      <c r="AR7" s="98"/>
      <c r="AS7" s="98" t="s">
        <v>763</v>
      </c>
      <c r="AT7" s="98" t="s">
        <v>764</v>
      </c>
      <c r="AU7" s="363" t="s">
        <v>765</v>
      </c>
      <c r="AV7" s="306" t="s">
        <v>766</v>
      </c>
      <c r="AW7" s="98" t="s">
        <v>767</v>
      </c>
      <c r="AX7" s="98" t="s">
        <v>768</v>
      </c>
      <c r="AZ7" s="368">
        <v>2.8500000000000001E-2</v>
      </c>
    </row>
    <row r="8" spans="1:52">
      <c r="AO8" s="97">
        <f>AP73</f>
        <v>0</v>
      </c>
      <c r="AP8">
        <v>2023</v>
      </c>
      <c r="AR8" s="98"/>
      <c r="AS8" s="98"/>
      <c r="AT8" s="369">
        <v>0</v>
      </c>
      <c r="AU8" s="371">
        <v>1</v>
      </c>
      <c r="AV8" s="370">
        <v>2</v>
      </c>
      <c r="AW8" s="369">
        <v>3</v>
      </c>
      <c r="AX8" s="369">
        <v>4</v>
      </c>
    </row>
    <row r="9" spans="1:52" ht="17.5" thickBot="1">
      <c r="A9" t="s">
        <v>312</v>
      </c>
      <c r="AR9" s="98" t="s">
        <v>769</v>
      </c>
      <c r="AS9" s="98">
        <v>100000</v>
      </c>
      <c r="AT9" s="365">
        <v>0.3</v>
      </c>
      <c r="AU9" s="372">
        <v>0.7</v>
      </c>
      <c r="AV9" s="366">
        <v>0.85</v>
      </c>
      <c r="AW9" s="365">
        <v>0.95</v>
      </c>
      <c r="AX9" s="365">
        <v>1</v>
      </c>
    </row>
    <row r="10" spans="1:52" ht="18" thickTop="1" thickBot="1">
      <c r="A10" s="503" t="s">
        <v>27</v>
      </c>
      <c r="B10" s="505"/>
      <c r="C10" s="125" t="s">
        <v>44</v>
      </c>
      <c r="D10" s="125" t="s">
        <v>45</v>
      </c>
      <c r="E10" s="125" t="s">
        <v>46</v>
      </c>
      <c r="F10" s="126" t="s">
        <v>11</v>
      </c>
      <c r="AR10" s="98" t="s">
        <v>770</v>
      </c>
      <c r="AS10" s="98">
        <v>50000</v>
      </c>
      <c r="AT10" s="365">
        <v>0.5</v>
      </c>
      <c r="AU10" s="372">
        <v>0.8</v>
      </c>
      <c r="AV10" s="366">
        <v>0.9</v>
      </c>
      <c r="AW10" s="365">
        <v>1</v>
      </c>
      <c r="AX10" s="365">
        <v>1</v>
      </c>
    </row>
    <row r="11" spans="1:52" ht="29.5" thickTop="1">
      <c r="A11" s="507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  <c r="AR11" s="306" t="s">
        <v>771</v>
      </c>
      <c r="AS11" s="306">
        <v>49999</v>
      </c>
      <c r="AT11" s="366">
        <v>0.7</v>
      </c>
      <c r="AU11" s="373">
        <v>0.9</v>
      </c>
      <c r="AV11" s="367">
        <v>1</v>
      </c>
      <c r="AW11" s="366">
        <v>1</v>
      </c>
      <c r="AX11" s="366">
        <v>1</v>
      </c>
    </row>
    <row r="12" spans="1:52" ht="29.5" thickBot="1">
      <c r="A12" s="511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52" ht="17.5" thickTop="1"/>
    <row r="16" spans="1:52" ht="18" thickBot="1">
      <c r="A16" s="157" t="s">
        <v>308</v>
      </c>
      <c r="L16" t="s">
        <v>245</v>
      </c>
      <c r="O16" s="157" t="s">
        <v>318</v>
      </c>
      <c r="X16" t="s">
        <v>245</v>
      </c>
    </row>
    <row r="17" spans="1:52" ht="17.5" thickTop="1">
      <c r="A17" s="523" t="s">
        <v>175</v>
      </c>
      <c r="B17" s="524"/>
      <c r="C17" s="524"/>
      <c r="D17" s="524"/>
      <c r="E17" s="525"/>
      <c r="F17" s="479" t="s">
        <v>165</v>
      </c>
      <c r="G17" s="480"/>
      <c r="H17" s="481"/>
      <c r="I17" s="105" t="s">
        <v>284</v>
      </c>
      <c r="J17" s="105" t="s">
        <v>286</v>
      </c>
      <c r="K17" s="105" t="s">
        <v>287</v>
      </c>
      <c r="L17" s="482" t="s">
        <v>21</v>
      </c>
      <c r="O17" s="527" t="s">
        <v>1</v>
      </c>
      <c r="P17" s="531" t="s">
        <v>288</v>
      </c>
      <c r="Q17" s="531"/>
      <c r="R17" s="531"/>
      <c r="S17" s="531"/>
      <c r="T17" s="531"/>
      <c r="U17" s="531"/>
      <c r="V17" s="531"/>
      <c r="W17" s="531"/>
      <c r="X17" s="531" t="s">
        <v>306</v>
      </c>
      <c r="Y17" s="531"/>
      <c r="Z17" s="531"/>
      <c r="AA17" s="531"/>
      <c r="AB17" s="531"/>
      <c r="AC17" s="531"/>
      <c r="AD17" s="531"/>
      <c r="AE17" s="531"/>
      <c r="AJ17" s="527" t="s">
        <v>1</v>
      </c>
      <c r="AK17" s="531" t="s">
        <v>288</v>
      </c>
      <c r="AL17" s="531"/>
      <c r="AM17" s="531"/>
      <c r="AN17" s="531"/>
      <c r="AO17" s="531"/>
      <c r="AP17" s="531"/>
      <c r="AQ17" s="531"/>
      <c r="AR17" s="531"/>
      <c r="AS17" s="531" t="s">
        <v>306</v>
      </c>
      <c r="AT17" s="531"/>
      <c r="AU17" s="531"/>
      <c r="AV17" s="531"/>
      <c r="AW17" s="531"/>
      <c r="AX17" s="531"/>
      <c r="AY17" s="531"/>
      <c r="AZ17" s="531"/>
    </row>
    <row r="18" spans="1:52" ht="17.5" thickBot="1">
      <c r="A18" s="526"/>
      <c r="B18" s="488"/>
      <c r="C18" s="488"/>
      <c r="D18" s="488"/>
      <c r="E18" s="489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83"/>
      <c r="O18" s="527"/>
      <c r="P18" s="520" t="s">
        <v>327</v>
      </c>
      <c r="Q18" s="521"/>
      <c r="R18" s="521"/>
      <c r="S18" s="521"/>
      <c r="T18" s="521"/>
      <c r="U18" s="522"/>
      <c r="V18" s="519" t="s">
        <v>250</v>
      </c>
      <c r="W18" s="519"/>
      <c r="X18" s="520" t="s">
        <v>327</v>
      </c>
      <c r="Y18" s="521"/>
      <c r="Z18" s="521"/>
      <c r="AA18" s="521"/>
      <c r="AB18" s="521"/>
      <c r="AC18" s="522"/>
      <c r="AD18" s="519" t="s">
        <v>250</v>
      </c>
      <c r="AE18" s="519"/>
      <c r="AJ18" s="527"/>
      <c r="AK18" s="520" t="s">
        <v>327</v>
      </c>
      <c r="AL18" s="521"/>
      <c r="AM18" s="521"/>
      <c r="AN18" s="521"/>
      <c r="AO18" s="521"/>
      <c r="AP18" s="522"/>
      <c r="AQ18" s="519" t="s">
        <v>250</v>
      </c>
      <c r="AR18" s="519"/>
      <c r="AS18" s="520" t="s">
        <v>327</v>
      </c>
      <c r="AT18" s="521"/>
      <c r="AU18" s="521"/>
      <c r="AV18" s="521"/>
      <c r="AW18" s="521"/>
      <c r="AX18" s="522"/>
      <c r="AY18" s="519" t="s">
        <v>250</v>
      </c>
      <c r="AZ18" s="519"/>
    </row>
    <row r="19" spans="1:52" ht="18" customHeight="1" thickTop="1">
      <c r="A19" s="507" t="s">
        <v>288</v>
      </c>
      <c r="B19" s="528" t="s">
        <v>26</v>
      </c>
      <c r="C19" s="529"/>
      <c r="D19" s="529"/>
      <c r="E19" s="530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527"/>
      <c r="P19" s="519" t="s">
        <v>325</v>
      </c>
      <c r="Q19" s="519"/>
      <c r="R19" s="519"/>
      <c r="S19" s="519"/>
      <c r="T19" s="519" t="s">
        <v>136</v>
      </c>
      <c r="U19" s="519"/>
      <c r="V19" s="519"/>
      <c r="W19" s="519"/>
      <c r="X19" s="519" t="s">
        <v>325</v>
      </c>
      <c r="Y19" s="519"/>
      <c r="Z19" s="519"/>
      <c r="AA19" s="519"/>
      <c r="AB19" s="519" t="s">
        <v>136</v>
      </c>
      <c r="AC19" s="519"/>
      <c r="AD19" s="519"/>
      <c r="AE19" s="519"/>
      <c r="AJ19" s="527"/>
      <c r="AK19" s="519" t="s">
        <v>325</v>
      </c>
      <c r="AL19" s="519"/>
      <c r="AM19" s="519"/>
      <c r="AN19" s="519"/>
      <c r="AO19" s="519" t="s">
        <v>136</v>
      </c>
      <c r="AP19" s="519"/>
      <c r="AQ19" s="519"/>
      <c r="AR19" s="519"/>
      <c r="AS19" s="519" t="s">
        <v>325</v>
      </c>
      <c r="AT19" s="519"/>
      <c r="AU19" s="519"/>
      <c r="AV19" s="519"/>
      <c r="AW19" s="519" t="s">
        <v>136</v>
      </c>
      <c r="AX19" s="519"/>
      <c r="AY19" s="519"/>
      <c r="AZ19" s="519"/>
    </row>
    <row r="20" spans="1:52">
      <c r="A20" s="508"/>
      <c r="B20" s="300" t="s">
        <v>289</v>
      </c>
      <c r="C20" s="490" t="s">
        <v>11</v>
      </c>
      <c r="D20" s="491"/>
      <c r="E20" s="496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527"/>
      <c r="P20" s="297" t="s">
        <v>314</v>
      </c>
      <c r="Q20" s="297" t="s">
        <v>285</v>
      </c>
      <c r="R20" s="104"/>
      <c r="S20" s="519" t="s">
        <v>166</v>
      </c>
      <c r="T20" s="519" t="s">
        <v>9</v>
      </c>
      <c r="U20" s="519" t="s">
        <v>10</v>
      </c>
      <c r="V20" s="519" t="s">
        <v>9</v>
      </c>
      <c r="W20" s="519" t="s">
        <v>10</v>
      </c>
      <c r="X20" s="297" t="s">
        <v>314</v>
      </c>
      <c r="Y20" s="297" t="s">
        <v>285</v>
      </c>
      <c r="Z20" s="104"/>
      <c r="AA20" s="519" t="s">
        <v>166</v>
      </c>
      <c r="AB20" s="519" t="s">
        <v>9</v>
      </c>
      <c r="AC20" s="519" t="s">
        <v>10</v>
      </c>
      <c r="AD20" s="519" t="s">
        <v>9</v>
      </c>
      <c r="AE20" s="519" t="s">
        <v>10</v>
      </c>
      <c r="AJ20" s="527"/>
      <c r="AK20" s="297" t="s">
        <v>314</v>
      </c>
      <c r="AL20" s="297" t="s">
        <v>285</v>
      </c>
      <c r="AM20" s="104"/>
      <c r="AN20" s="519" t="s">
        <v>166</v>
      </c>
      <c r="AO20" s="519" t="s">
        <v>9</v>
      </c>
      <c r="AP20" s="519" t="s">
        <v>10</v>
      </c>
      <c r="AQ20" s="519" t="s">
        <v>9</v>
      </c>
      <c r="AR20" s="519" t="s">
        <v>10</v>
      </c>
      <c r="AS20" s="297" t="s">
        <v>314</v>
      </c>
      <c r="AT20" s="297" t="s">
        <v>285</v>
      </c>
      <c r="AU20" s="104"/>
      <c r="AV20" s="519" t="s">
        <v>166</v>
      </c>
      <c r="AW20" s="519" t="s">
        <v>9</v>
      </c>
      <c r="AX20" s="519" t="s">
        <v>10</v>
      </c>
      <c r="AY20" s="519" t="s">
        <v>9</v>
      </c>
      <c r="AZ20" s="519" t="s">
        <v>10</v>
      </c>
    </row>
    <row r="21" spans="1:52">
      <c r="A21" s="508"/>
      <c r="B21" s="295" t="s">
        <v>290</v>
      </c>
      <c r="C21" s="300" t="s">
        <v>291</v>
      </c>
      <c r="D21" s="490" t="s">
        <v>292</v>
      </c>
      <c r="E21" s="496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527"/>
      <c r="P21" s="297" t="s">
        <v>44</v>
      </c>
      <c r="Q21" s="297" t="s">
        <v>45</v>
      </c>
      <c r="R21" s="297" t="s">
        <v>46</v>
      </c>
      <c r="S21" s="519"/>
      <c r="T21" s="519"/>
      <c r="U21" s="519"/>
      <c r="V21" s="519"/>
      <c r="W21" s="519"/>
      <c r="X21" s="297" t="s">
        <v>44</v>
      </c>
      <c r="Y21" s="297" t="s">
        <v>45</v>
      </c>
      <c r="Z21" s="297" t="s">
        <v>46</v>
      </c>
      <c r="AA21" s="519"/>
      <c r="AB21" s="519"/>
      <c r="AC21" s="519"/>
      <c r="AD21" s="519"/>
      <c r="AE21" s="519"/>
      <c r="AJ21" s="527"/>
      <c r="AK21" s="297" t="s">
        <v>44</v>
      </c>
      <c r="AL21" s="297" t="s">
        <v>45</v>
      </c>
      <c r="AM21" s="297" t="s">
        <v>46</v>
      </c>
      <c r="AN21" s="519"/>
      <c r="AO21" s="519"/>
      <c r="AP21" s="519"/>
      <c r="AQ21" s="519"/>
      <c r="AR21" s="519"/>
      <c r="AS21" s="297" t="s">
        <v>44</v>
      </c>
      <c r="AT21" s="297" t="s">
        <v>45</v>
      </c>
      <c r="AU21" s="297" t="s">
        <v>46</v>
      </c>
      <c r="AV21" s="519"/>
      <c r="AW21" s="519"/>
      <c r="AX21" s="519"/>
      <c r="AY21" s="519"/>
      <c r="AZ21" s="519"/>
    </row>
    <row r="22" spans="1:52">
      <c r="A22" s="508"/>
      <c r="B22" s="295" t="s">
        <v>19</v>
      </c>
      <c r="C22" s="296" t="s">
        <v>289</v>
      </c>
      <c r="D22" s="490" t="s">
        <v>293</v>
      </c>
      <c r="E22" s="496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298" t="s">
        <v>156</v>
      </c>
      <c r="P22" s="141">
        <f>AK22*0.01</f>
        <v>0.40700000000000003</v>
      </c>
      <c r="Q22" s="141">
        <f t="shared" ref="Q22:AE26" si="0">AL22*0.01</f>
        <v>7.0000000000000007E-2</v>
      </c>
      <c r="R22" s="141">
        <f t="shared" si="0"/>
        <v>0.28199999999999997</v>
      </c>
      <c r="S22" s="141">
        <f t="shared" si="0"/>
        <v>0.253</v>
      </c>
      <c r="T22" s="141">
        <f t="shared" si="0"/>
        <v>0.26600000000000001</v>
      </c>
      <c r="U22" s="141">
        <f t="shared" si="0"/>
        <v>0.28500000000000003</v>
      </c>
      <c r="V22" s="141">
        <f t="shared" si="0"/>
        <v>0.371</v>
      </c>
      <c r="W22" s="141">
        <f t="shared" si="0"/>
        <v>0.34899999999999998</v>
      </c>
      <c r="X22" s="141">
        <f t="shared" si="0"/>
        <v>0.40799999999999997</v>
      </c>
      <c r="Y22" s="141">
        <f t="shared" si="0"/>
        <v>7.0999999999999994E-2</v>
      </c>
      <c r="Z22" s="141">
        <f t="shared" si="0"/>
        <v>0.28399999999999997</v>
      </c>
      <c r="AA22" s="141">
        <f t="shared" si="0"/>
        <v>0.254</v>
      </c>
      <c r="AB22" s="141">
        <f t="shared" si="0"/>
        <v>0.26700000000000002</v>
      </c>
      <c r="AC22" s="141">
        <f t="shared" si="0"/>
        <v>0.28699999999999998</v>
      </c>
      <c r="AD22" s="141">
        <f t="shared" si="0"/>
        <v>0.37200000000000005</v>
      </c>
      <c r="AE22" s="141">
        <f t="shared" si="0"/>
        <v>0.35100000000000003</v>
      </c>
      <c r="AJ22" s="298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508"/>
      <c r="B23" s="112"/>
      <c r="C23" s="300" t="s">
        <v>294</v>
      </c>
      <c r="D23" s="490" t="s">
        <v>292</v>
      </c>
      <c r="E23" s="496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298" t="s">
        <v>157</v>
      </c>
      <c r="P23" s="141">
        <f t="shared" ref="P23:P26" si="1">AK23*0.01</f>
        <v>5.9000000000000004E-2</v>
      </c>
      <c r="Q23" s="141">
        <f t="shared" si="0"/>
        <v>2.4E-2</v>
      </c>
      <c r="R23" s="141">
        <f t="shared" si="0"/>
        <v>7.0000000000000007E-2</v>
      </c>
      <c r="S23" s="141">
        <f t="shared" si="0"/>
        <v>7.400000000000001E-2</v>
      </c>
      <c r="T23" s="141">
        <f t="shared" si="0"/>
        <v>1.9E-2</v>
      </c>
      <c r="U23" s="141">
        <f t="shared" si="0"/>
        <v>3.9E-2</v>
      </c>
      <c r="V23" s="141">
        <f t="shared" si="0"/>
        <v>9.6000000000000002E-2</v>
      </c>
      <c r="W23" s="141">
        <f t="shared" si="0"/>
        <v>9.3000000000000013E-2</v>
      </c>
      <c r="X23" s="141">
        <f t="shared" si="0"/>
        <v>5.9000000000000004E-2</v>
      </c>
      <c r="Y23" s="141">
        <f t="shared" si="0"/>
        <v>2.4E-2</v>
      </c>
      <c r="Z23" s="141">
        <f t="shared" si="0"/>
        <v>7.0999999999999994E-2</v>
      </c>
      <c r="AA23" s="141">
        <f t="shared" si="0"/>
        <v>7.4999999999999997E-2</v>
      </c>
      <c r="AB23" s="141">
        <f t="shared" si="0"/>
        <v>1.9E-2</v>
      </c>
      <c r="AC23" s="141">
        <f t="shared" si="0"/>
        <v>3.9E-2</v>
      </c>
      <c r="AD23" s="141">
        <f t="shared" si="0"/>
        <v>9.6999999999999989E-2</v>
      </c>
      <c r="AE23" s="141">
        <f t="shared" si="0"/>
        <v>9.4E-2</v>
      </c>
      <c r="AJ23" s="298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508"/>
      <c r="B24" s="112"/>
      <c r="C24" s="295" t="s">
        <v>289</v>
      </c>
      <c r="D24" s="515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298" t="s">
        <v>158</v>
      </c>
      <c r="P24" s="141">
        <f t="shared" si="1"/>
        <v>0.40100000000000002</v>
      </c>
      <c r="Q24" s="141">
        <f t="shared" si="0"/>
        <v>0.39100000000000001</v>
      </c>
      <c r="R24" s="141">
        <f t="shared" si="0"/>
        <v>0.40799999999999997</v>
      </c>
      <c r="S24" s="141">
        <f t="shared" si="0"/>
        <v>0.42</v>
      </c>
      <c r="T24" s="141">
        <f t="shared" si="0"/>
        <v>0.55299999999999994</v>
      </c>
      <c r="U24" s="141">
        <f t="shared" si="0"/>
        <v>0.19700000000000001</v>
      </c>
      <c r="V24" s="141">
        <f t="shared" si="0"/>
        <v>0.34799999999999998</v>
      </c>
      <c r="W24" s="141">
        <f t="shared" si="0"/>
        <v>0.35799999999999998</v>
      </c>
      <c r="X24" s="141">
        <f t="shared" si="0"/>
        <v>0.4</v>
      </c>
      <c r="Y24" s="141">
        <f t="shared" si="0"/>
        <v>0.39200000000000002</v>
      </c>
      <c r="Z24" s="141">
        <f t="shared" si="0"/>
        <v>0.40799999999999997</v>
      </c>
      <c r="AA24" s="141">
        <f t="shared" si="0"/>
        <v>0.42</v>
      </c>
      <c r="AB24" s="141">
        <f t="shared" si="0"/>
        <v>0.55299999999999994</v>
      </c>
      <c r="AC24" s="141">
        <f t="shared" si="0"/>
        <v>0.19700000000000001</v>
      </c>
      <c r="AD24" s="141">
        <f t="shared" si="0"/>
        <v>0.34799999999999998</v>
      </c>
      <c r="AE24" s="141">
        <f t="shared" si="0"/>
        <v>0.35700000000000004</v>
      </c>
      <c r="AJ24" s="298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508"/>
      <c r="B25" s="112"/>
      <c r="C25" s="112"/>
      <c r="D25" s="494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298" t="s">
        <v>46</v>
      </c>
      <c r="P25" s="141">
        <f t="shared" si="1"/>
        <v>0.13300000000000001</v>
      </c>
      <c r="Q25" s="141">
        <f t="shared" si="0"/>
        <v>0.51400000000000001</v>
      </c>
      <c r="R25" s="141">
        <f t="shared" si="0"/>
        <v>0.23899999999999999</v>
      </c>
      <c r="S25" s="141">
        <f t="shared" si="0"/>
        <v>0.253</v>
      </c>
      <c r="T25" s="141">
        <f t="shared" si="0"/>
        <v>0.16200000000000001</v>
      </c>
      <c r="U25" s="141">
        <f t="shared" si="0"/>
        <v>0.47899999999999998</v>
      </c>
      <c r="V25" s="141">
        <f t="shared" si="0"/>
        <v>0.185</v>
      </c>
      <c r="W25" s="141">
        <f t="shared" si="0"/>
        <v>0.19899999999999998</v>
      </c>
      <c r="X25" s="141">
        <f t="shared" si="0"/>
        <v>0.13200000000000001</v>
      </c>
      <c r="Y25" s="141">
        <f t="shared" si="0"/>
        <v>0.51300000000000001</v>
      </c>
      <c r="Z25" s="141">
        <f t="shared" si="0"/>
        <v>0.23800000000000002</v>
      </c>
      <c r="AA25" s="141">
        <f t="shared" si="0"/>
        <v>0.251</v>
      </c>
      <c r="AB25" s="141">
        <f t="shared" si="0"/>
        <v>0.161</v>
      </c>
      <c r="AC25" s="141">
        <f t="shared" si="0"/>
        <v>0.47600000000000003</v>
      </c>
      <c r="AD25" s="141">
        <f t="shared" si="0"/>
        <v>0.18300000000000002</v>
      </c>
      <c r="AE25" s="141">
        <f t="shared" si="0"/>
        <v>0.19800000000000001</v>
      </c>
      <c r="AJ25" s="298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508"/>
      <c r="B26" s="112"/>
      <c r="C26" s="112"/>
      <c r="D26" s="495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298" t="s">
        <v>11</v>
      </c>
      <c r="P26" s="141">
        <f t="shared" si="1"/>
        <v>1</v>
      </c>
      <c r="Q26" s="141">
        <f t="shared" si="0"/>
        <v>1</v>
      </c>
      <c r="R26" s="141">
        <f t="shared" si="0"/>
        <v>1</v>
      </c>
      <c r="S26" s="141">
        <f t="shared" si="0"/>
        <v>1</v>
      </c>
      <c r="T26" s="141">
        <f t="shared" si="0"/>
        <v>1</v>
      </c>
      <c r="U26" s="141">
        <f t="shared" si="0"/>
        <v>1</v>
      </c>
      <c r="V26" s="141">
        <f t="shared" si="0"/>
        <v>1</v>
      </c>
      <c r="W26" s="141">
        <f t="shared" si="0"/>
        <v>1</v>
      </c>
      <c r="X26" s="141">
        <f t="shared" si="0"/>
        <v>1</v>
      </c>
      <c r="Y26" s="141">
        <f t="shared" si="0"/>
        <v>1</v>
      </c>
      <c r="Z26" s="141">
        <f t="shared" si="0"/>
        <v>1</v>
      </c>
      <c r="AA26" s="141">
        <f t="shared" si="0"/>
        <v>1</v>
      </c>
      <c r="AB26" s="141">
        <f t="shared" si="0"/>
        <v>1</v>
      </c>
      <c r="AC26" s="141">
        <f t="shared" si="0"/>
        <v>1</v>
      </c>
      <c r="AD26" s="141">
        <f t="shared" si="0"/>
        <v>1</v>
      </c>
      <c r="AE26" s="141">
        <f t="shared" si="0"/>
        <v>1</v>
      </c>
      <c r="AJ26" s="298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508"/>
      <c r="B27" s="112"/>
      <c r="C27" s="112"/>
      <c r="D27" s="30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508"/>
      <c r="B28" s="112"/>
      <c r="C28" s="112"/>
      <c r="D28" s="295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508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508"/>
      <c r="B30" s="113"/>
      <c r="C30" s="490" t="s">
        <v>13</v>
      </c>
      <c r="D30" s="491"/>
      <c r="E30" s="496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508"/>
      <c r="B31" s="300" t="s">
        <v>300</v>
      </c>
      <c r="C31" s="490" t="s">
        <v>301</v>
      </c>
      <c r="D31" s="491"/>
      <c r="E31" s="496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508"/>
      <c r="B32" s="295" t="s">
        <v>20</v>
      </c>
      <c r="C32" s="490" t="s">
        <v>302</v>
      </c>
      <c r="D32" s="491"/>
      <c r="E32" s="496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38">
      <c r="A33" s="508"/>
      <c r="B33" s="295" t="s">
        <v>19</v>
      </c>
      <c r="C33" s="490" t="s">
        <v>303</v>
      </c>
      <c r="D33" s="491"/>
      <c r="E33" s="496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38" ht="17.5" thickBot="1">
      <c r="A34" s="508"/>
      <c r="B34" s="112"/>
      <c r="C34" s="490" t="s">
        <v>304</v>
      </c>
      <c r="D34" s="491"/>
      <c r="E34" s="496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38" ht="18" thickTop="1" thickBot="1">
      <c r="A35" s="508"/>
      <c r="B35" s="112"/>
      <c r="C35" s="490" t="s">
        <v>305</v>
      </c>
      <c r="D35" s="491"/>
      <c r="E35" s="496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503" t="s">
        <v>1</v>
      </c>
      <c r="AD35" s="504"/>
      <c r="AE35" s="504"/>
      <c r="AF35" s="504"/>
      <c r="AG35" s="505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38" ht="18" thickTop="1" thickBot="1">
      <c r="A36" s="511"/>
      <c r="B36" s="119"/>
      <c r="C36" s="501" t="s">
        <v>47</v>
      </c>
      <c r="D36" s="506"/>
      <c r="E36" s="502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507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38" ht="17.5" thickTop="1">
      <c r="A37" s="510" t="s">
        <v>306</v>
      </c>
      <c r="B37" s="512" t="s">
        <v>26</v>
      </c>
      <c r="C37" s="513"/>
      <c r="D37" s="513"/>
      <c r="E37" s="514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508"/>
      <c r="AD37" s="295" t="s">
        <v>19</v>
      </c>
      <c r="AE37" s="295" t="s">
        <v>294</v>
      </c>
      <c r="AF37" s="295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38">
      <c r="A38" s="508"/>
      <c r="B38" s="300" t="s">
        <v>289</v>
      </c>
      <c r="C38" s="490" t="s">
        <v>11</v>
      </c>
      <c r="D38" s="491"/>
      <c r="E38" s="496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508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38">
      <c r="A39" s="508"/>
      <c r="B39" s="295" t="s">
        <v>290</v>
      </c>
      <c r="C39" s="300" t="s">
        <v>291</v>
      </c>
      <c r="D39" s="490" t="s">
        <v>292</v>
      </c>
      <c r="E39" s="496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508"/>
      <c r="AD39" s="112"/>
      <c r="AE39" s="113"/>
      <c r="AF39" s="490" t="s">
        <v>166</v>
      </c>
      <c r="AG39" s="496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38">
      <c r="A40" s="508"/>
      <c r="B40" s="295" t="s">
        <v>19</v>
      </c>
      <c r="C40" s="296" t="s">
        <v>289</v>
      </c>
      <c r="D40" s="490" t="s">
        <v>293</v>
      </c>
      <c r="E40" s="496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508"/>
      <c r="AD40" s="112"/>
      <c r="AE40" s="300" t="s">
        <v>315</v>
      </c>
      <c r="AF40" s="490" t="s">
        <v>9</v>
      </c>
      <c r="AG40" s="496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38">
      <c r="A41" s="508"/>
      <c r="B41" s="112"/>
      <c r="C41" s="300" t="s">
        <v>294</v>
      </c>
      <c r="D41" s="490" t="s">
        <v>292</v>
      </c>
      <c r="E41" s="496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508"/>
      <c r="AD41" s="113"/>
      <c r="AE41" s="296" t="s">
        <v>316</v>
      </c>
      <c r="AF41" s="490" t="s">
        <v>10</v>
      </c>
      <c r="AG41" s="496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38">
      <c r="A42" s="508"/>
      <c r="B42" s="112"/>
      <c r="C42" s="295" t="s">
        <v>289</v>
      </c>
      <c r="D42" s="515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508"/>
      <c r="AD42" s="497" t="s">
        <v>250</v>
      </c>
      <c r="AE42" s="498"/>
      <c r="AF42" s="490" t="s">
        <v>9</v>
      </c>
      <c r="AG42" s="496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38">
      <c r="A43" s="508"/>
      <c r="B43" s="112"/>
      <c r="C43" s="112"/>
      <c r="D43" s="494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09"/>
      <c r="AD43" s="516"/>
      <c r="AE43" s="517"/>
      <c r="AF43" s="490" t="s">
        <v>10</v>
      </c>
      <c r="AG43" s="496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38" ht="29">
      <c r="A44" s="508"/>
      <c r="B44" s="112"/>
      <c r="C44" s="112"/>
      <c r="D44" s="495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18" t="s">
        <v>306</v>
      </c>
      <c r="AD44" s="300" t="s">
        <v>313</v>
      </c>
      <c r="AE44" s="300" t="s">
        <v>291</v>
      </c>
      <c r="AF44" s="30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</row>
    <row r="45" spans="1:38">
      <c r="A45" s="508"/>
      <c r="B45" s="112"/>
      <c r="C45" s="112"/>
      <c r="D45" s="30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508"/>
      <c r="AD45" s="295" t="s">
        <v>19</v>
      </c>
      <c r="AE45" s="295" t="s">
        <v>294</v>
      </c>
      <c r="AF45" s="295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</row>
    <row r="46" spans="1:38" ht="29">
      <c r="A46" s="508"/>
      <c r="B46" s="112"/>
      <c r="C46" s="112"/>
      <c r="D46" s="295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508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</row>
    <row r="47" spans="1:38">
      <c r="A47" s="508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508"/>
      <c r="AD47" s="112"/>
      <c r="AE47" s="113"/>
      <c r="AF47" s="490" t="s">
        <v>166</v>
      </c>
      <c r="AG47" s="496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</row>
    <row r="48" spans="1:38">
      <c r="A48" s="508"/>
      <c r="B48" s="113"/>
      <c r="C48" s="490" t="s">
        <v>13</v>
      </c>
      <c r="D48" s="491"/>
      <c r="E48" s="496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508"/>
      <c r="AD48" s="112"/>
      <c r="AE48" s="300" t="s">
        <v>315</v>
      </c>
      <c r="AF48" s="490" t="s">
        <v>9</v>
      </c>
      <c r="AG48" s="496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</row>
    <row r="49" spans="1:49">
      <c r="A49" s="508"/>
      <c r="B49" s="300" t="s">
        <v>300</v>
      </c>
      <c r="C49" s="490" t="s">
        <v>301</v>
      </c>
      <c r="D49" s="491"/>
      <c r="E49" s="496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508"/>
      <c r="AD49" s="113"/>
      <c r="AE49" s="296" t="s">
        <v>316</v>
      </c>
      <c r="AF49" s="490" t="s">
        <v>10</v>
      </c>
      <c r="AG49" s="496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</row>
    <row r="50" spans="1:49">
      <c r="A50" s="508"/>
      <c r="B50" s="295" t="s">
        <v>20</v>
      </c>
      <c r="C50" s="490" t="s">
        <v>302</v>
      </c>
      <c r="D50" s="491"/>
      <c r="E50" s="496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508"/>
      <c r="AD50" s="497" t="s">
        <v>250</v>
      </c>
      <c r="AE50" s="498"/>
      <c r="AF50" s="490" t="s">
        <v>9</v>
      </c>
      <c r="AG50" s="496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</row>
    <row r="51" spans="1:49" ht="17.5" thickBot="1">
      <c r="A51" s="508"/>
      <c r="B51" s="295" t="s">
        <v>19</v>
      </c>
      <c r="C51" s="490" t="s">
        <v>303</v>
      </c>
      <c r="D51" s="491"/>
      <c r="E51" s="496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511"/>
      <c r="AD51" s="499"/>
      <c r="AE51" s="500"/>
      <c r="AF51" s="501" t="s">
        <v>10</v>
      </c>
      <c r="AG51" s="502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</row>
    <row r="52" spans="1:49" ht="17.5" thickTop="1">
      <c r="A52" s="508"/>
      <c r="B52" s="112"/>
      <c r="C52" s="490" t="s">
        <v>304</v>
      </c>
      <c r="D52" s="491"/>
      <c r="E52" s="496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</row>
    <row r="53" spans="1:49">
      <c r="A53" s="508"/>
      <c r="B53" s="112"/>
      <c r="C53" s="490" t="s">
        <v>305</v>
      </c>
      <c r="D53" s="491"/>
      <c r="E53" s="496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</row>
    <row r="54" spans="1:49" ht="17.5" thickBot="1">
      <c r="A54" s="511"/>
      <c r="B54" s="119"/>
      <c r="C54" s="501" t="s">
        <v>47</v>
      </c>
      <c r="D54" s="506"/>
      <c r="E54" s="502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</row>
    <row r="55" spans="1:49" ht="17.5" thickTop="1">
      <c r="AU55" t="s">
        <v>147</v>
      </c>
      <c r="AV55" t="s">
        <v>148</v>
      </c>
      <c r="AW55" s="32" t="s">
        <v>74</v>
      </c>
    </row>
    <row r="56" spans="1:49" ht="23">
      <c r="A56" s="154" t="s">
        <v>333</v>
      </c>
      <c r="AU56" t="s">
        <v>656</v>
      </c>
      <c r="AV56" t="s">
        <v>642</v>
      </c>
      <c r="AW56" s="75">
        <v>8014.2473</v>
      </c>
    </row>
    <row r="57" spans="1:49">
      <c r="A57" s="32" t="s">
        <v>664</v>
      </c>
      <c r="AU57" t="s">
        <v>135</v>
      </c>
      <c r="AV57" t="s">
        <v>217</v>
      </c>
      <c r="AW57" s="75">
        <v>5231.5074000000004</v>
      </c>
    </row>
    <row r="58" spans="1:49" ht="18" customHeight="1" thickBot="1">
      <c r="L58" t="s">
        <v>665</v>
      </c>
      <c r="Q58" t="s">
        <v>666</v>
      </c>
      <c r="AU58" t="s">
        <v>656</v>
      </c>
      <c r="AV58" t="s">
        <v>359</v>
      </c>
      <c r="AW58" s="75">
        <v>5055.2204000000002</v>
      </c>
    </row>
    <row r="59" spans="1:49" ht="17.5" thickTop="1">
      <c r="A59" s="484" t="s">
        <v>175</v>
      </c>
      <c r="B59" s="485"/>
      <c r="C59" s="485"/>
      <c r="D59" s="485"/>
      <c r="E59" s="486"/>
      <c r="F59" s="479" t="s">
        <v>165</v>
      </c>
      <c r="G59" s="480"/>
      <c r="H59" s="481"/>
      <c r="I59" s="105" t="s">
        <v>284</v>
      </c>
      <c r="J59" s="105" t="s">
        <v>286</v>
      </c>
      <c r="K59" s="105" t="s">
        <v>287</v>
      </c>
      <c r="L59" s="482" t="s">
        <v>21</v>
      </c>
      <c r="Q59" s="484" t="s">
        <v>175</v>
      </c>
      <c r="R59" s="485"/>
      <c r="S59" s="485"/>
      <c r="T59" s="485"/>
      <c r="U59" s="486"/>
      <c r="V59" s="479" t="s">
        <v>165</v>
      </c>
      <c r="W59" s="480"/>
      <c r="X59" s="481"/>
      <c r="Y59" s="105" t="s">
        <v>284</v>
      </c>
      <c r="Z59" s="105" t="s">
        <v>286</v>
      </c>
      <c r="AA59" s="105" t="s">
        <v>287</v>
      </c>
      <c r="AB59" s="482" t="s">
        <v>21</v>
      </c>
      <c r="AU59" t="s">
        <v>643</v>
      </c>
      <c r="AV59" t="s">
        <v>360</v>
      </c>
      <c r="AW59" s="75">
        <v>6559.1377000000002</v>
      </c>
    </row>
    <row r="60" spans="1:49" ht="17.5" thickBot="1">
      <c r="A60" s="487"/>
      <c r="B60" s="488"/>
      <c r="C60" s="488"/>
      <c r="D60" s="488"/>
      <c r="E60" s="489"/>
      <c r="F60" s="107" t="s">
        <v>44</v>
      </c>
      <c r="G60" s="107" t="s">
        <v>45</v>
      </c>
      <c r="H60" s="107" t="s">
        <v>46</v>
      </c>
      <c r="I60" s="106" t="s">
        <v>285</v>
      </c>
      <c r="J60" s="106" t="s">
        <v>285</v>
      </c>
      <c r="K60" s="106" t="s">
        <v>285</v>
      </c>
      <c r="L60" s="483"/>
      <c r="Q60" s="487"/>
      <c r="R60" s="488"/>
      <c r="S60" s="488"/>
      <c r="T60" s="488"/>
      <c r="U60" s="489"/>
      <c r="V60" s="107" t="s">
        <v>44</v>
      </c>
      <c r="W60" s="107" t="s">
        <v>45</v>
      </c>
      <c r="X60" s="107" t="s">
        <v>46</v>
      </c>
      <c r="Y60" s="106" t="s">
        <v>285</v>
      </c>
      <c r="Z60" s="106" t="s">
        <v>285</v>
      </c>
      <c r="AA60" s="106" t="s">
        <v>285</v>
      </c>
      <c r="AB60" s="483"/>
      <c r="AU60" t="s">
        <v>135</v>
      </c>
      <c r="AV60" t="s">
        <v>361</v>
      </c>
      <c r="AW60" s="75">
        <v>8261.5616000000009</v>
      </c>
    </row>
    <row r="61" spans="1:49" ht="37" thickTop="1">
      <c r="A61" s="145">
        <v>2023</v>
      </c>
      <c r="B61" s="300" t="s">
        <v>289</v>
      </c>
      <c r="C61" s="300"/>
      <c r="D61" s="490" t="s">
        <v>135</v>
      </c>
      <c r="E61" s="491"/>
      <c r="F61" s="97">
        <f t="shared" ref="F61:K61" si="2">F21</f>
        <v>437</v>
      </c>
      <c r="G61" s="97">
        <f t="shared" si="2"/>
        <v>130</v>
      </c>
      <c r="H61" s="97">
        <f t="shared" si="2"/>
        <v>499</v>
      </c>
      <c r="I61" s="97">
        <f t="shared" si="2"/>
        <v>448</v>
      </c>
      <c r="J61" s="97">
        <f t="shared" si="2"/>
        <v>0</v>
      </c>
      <c r="K61" s="97">
        <f t="shared" si="2"/>
        <v>0</v>
      </c>
      <c r="L61" s="97">
        <f>L21</f>
        <v>1515</v>
      </c>
      <c r="Q61" s="328">
        <v>2023</v>
      </c>
      <c r="R61" s="312" t="s">
        <v>289</v>
      </c>
      <c r="T61" t="s">
        <v>135</v>
      </c>
      <c r="U61" t="s">
        <v>135</v>
      </c>
      <c r="V61" s="97">
        <f>F61/2</f>
        <v>218.5</v>
      </c>
      <c r="W61" s="97">
        <f t="shared" ref="W61:W72" si="3">G61/2</f>
        <v>65</v>
      </c>
      <c r="X61" s="97">
        <f t="shared" ref="X61:X72" si="4">H61/2</f>
        <v>249.5</v>
      </c>
      <c r="Y61" s="97"/>
      <c r="Z61" s="97">
        <f t="shared" ref="Z61:Z72" si="5">J61/2</f>
        <v>0</v>
      </c>
      <c r="AA61" s="97"/>
      <c r="AB61" s="97">
        <f>SUM(V61:X61,Z61)</f>
        <v>533</v>
      </c>
      <c r="AU61" t="s">
        <v>135</v>
      </c>
      <c r="AV61" t="s">
        <v>362</v>
      </c>
      <c r="AW61" s="75">
        <v>22890.217400000001</v>
      </c>
    </row>
    <row r="62" spans="1:49">
      <c r="A62" s="145"/>
      <c r="B62" s="295" t="s">
        <v>290</v>
      </c>
      <c r="C62" s="112"/>
      <c r="D62" s="494" t="s">
        <v>322</v>
      </c>
      <c r="E62" s="41" t="s">
        <v>296</v>
      </c>
      <c r="F62" s="97">
        <f t="shared" ref="F62:K62" si="6">F25</f>
        <v>9511</v>
      </c>
      <c r="G62" s="97">
        <f t="shared" si="6"/>
        <v>2841</v>
      </c>
      <c r="H62" s="97">
        <f t="shared" si="6"/>
        <v>10863</v>
      </c>
      <c r="I62" s="97">
        <f t="shared" si="6"/>
        <v>12097</v>
      </c>
      <c r="J62" s="97">
        <f t="shared" si="6"/>
        <v>0</v>
      </c>
      <c r="K62" s="97">
        <f t="shared" si="6"/>
        <v>0</v>
      </c>
      <c r="L62" s="97">
        <f>L25</f>
        <v>35312</v>
      </c>
      <c r="Q62" s="145"/>
      <c r="R62" s="311" t="s">
        <v>290</v>
      </c>
      <c r="T62" t="s">
        <v>322</v>
      </c>
      <c r="U62" t="s">
        <v>667</v>
      </c>
      <c r="V62" s="97">
        <f t="shared" ref="V62:V72" si="7">F62/2</f>
        <v>4755.5</v>
      </c>
      <c r="W62" s="97">
        <f t="shared" si="3"/>
        <v>1420.5</v>
      </c>
      <c r="X62" s="97">
        <f t="shared" si="4"/>
        <v>5431.5</v>
      </c>
      <c r="Y62" s="97"/>
      <c r="Z62" s="97">
        <f t="shared" si="5"/>
        <v>0</v>
      </c>
      <c r="AA62" s="97"/>
      <c r="AB62" s="97">
        <f t="shared" ref="AB62:AB73" si="8">SUM(V62:X62,Z62)</f>
        <v>11607.5</v>
      </c>
      <c r="AU62" t="s">
        <v>643</v>
      </c>
      <c r="AV62" t="s">
        <v>363</v>
      </c>
      <c r="AW62" s="75">
        <v>10963.124400000001</v>
      </c>
    </row>
    <row r="63" spans="1:49" ht="29">
      <c r="A63" s="145"/>
      <c r="B63" s="295" t="s">
        <v>19</v>
      </c>
      <c r="C63" s="112"/>
      <c r="D63" s="495"/>
      <c r="E63" s="41" t="s">
        <v>297</v>
      </c>
      <c r="F63" s="97">
        <f t="shared" ref="F63:K63" si="9">F26</f>
        <v>7149</v>
      </c>
      <c r="G63" s="97">
        <f t="shared" si="9"/>
        <v>2136</v>
      </c>
      <c r="H63" s="97">
        <f t="shared" si="9"/>
        <v>8165</v>
      </c>
      <c r="I63" s="97">
        <f t="shared" si="9"/>
        <v>7340</v>
      </c>
      <c r="J63" s="97">
        <f t="shared" si="9"/>
        <v>0</v>
      </c>
      <c r="K63" s="97">
        <f t="shared" si="9"/>
        <v>0</v>
      </c>
      <c r="L63" s="97">
        <f>L26</f>
        <v>24790</v>
      </c>
      <c r="Q63" s="145"/>
      <c r="R63" s="311" t="s">
        <v>19</v>
      </c>
      <c r="U63" t="s">
        <v>669</v>
      </c>
      <c r="V63" s="97">
        <f t="shared" si="7"/>
        <v>3574.5</v>
      </c>
      <c r="W63" s="97">
        <f t="shared" si="3"/>
        <v>1068</v>
      </c>
      <c r="X63" s="97">
        <f t="shared" si="4"/>
        <v>4082.5</v>
      </c>
      <c r="Y63" s="97"/>
      <c r="Z63" s="97">
        <f t="shared" si="5"/>
        <v>0</v>
      </c>
      <c r="AA63" s="97"/>
      <c r="AB63" s="97">
        <f t="shared" si="8"/>
        <v>8725</v>
      </c>
      <c r="AU63" t="s">
        <v>644</v>
      </c>
      <c r="AV63" t="s">
        <v>75</v>
      </c>
      <c r="AW63" s="75">
        <v>26312.316800000001</v>
      </c>
    </row>
    <row r="64" spans="1:49" ht="16.5" customHeight="1">
      <c r="A64" s="145"/>
      <c r="B64" s="112"/>
      <c r="C64" s="112"/>
      <c r="D64" s="295" t="s">
        <v>197</v>
      </c>
      <c r="E64" s="41" t="s">
        <v>297</v>
      </c>
      <c r="F64" s="97">
        <f t="shared" ref="F64:K64" si="10">F28</f>
        <v>1150</v>
      </c>
      <c r="G64" s="97">
        <f t="shared" si="10"/>
        <v>343</v>
      </c>
      <c r="H64" s="97">
        <f t="shared" si="10"/>
        <v>1313</v>
      </c>
      <c r="I64" s="97">
        <f t="shared" si="10"/>
        <v>1181</v>
      </c>
      <c r="J64" s="97">
        <f t="shared" si="10"/>
        <v>0</v>
      </c>
      <c r="K64" s="97">
        <f t="shared" si="10"/>
        <v>0</v>
      </c>
      <c r="L64" s="97">
        <f t="shared" ref="L64:L72" si="11">L28</f>
        <v>3987</v>
      </c>
      <c r="Q64" s="145"/>
      <c r="R64" s="112"/>
      <c r="T64" t="s">
        <v>197</v>
      </c>
      <c r="U64" t="s">
        <v>671</v>
      </c>
      <c r="V64" s="97">
        <f t="shared" si="7"/>
        <v>575</v>
      </c>
      <c r="W64" s="97">
        <f t="shared" si="3"/>
        <v>171.5</v>
      </c>
      <c r="X64" s="97">
        <f t="shared" si="4"/>
        <v>656.5</v>
      </c>
      <c r="Y64" s="97"/>
      <c r="Z64" s="97">
        <f t="shared" si="5"/>
        <v>0</v>
      </c>
      <c r="AA64" s="97"/>
      <c r="AB64" s="97">
        <f t="shared" si="8"/>
        <v>1403</v>
      </c>
      <c r="AU64" t="s">
        <v>370</v>
      </c>
      <c r="AV64" t="s">
        <v>76</v>
      </c>
      <c r="AW64" s="75">
        <v>25868.347099999999</v>
      </c>
    </row>
    <row r="65" spans="1:49">
      <c r="A65" s="145"/>
      <c r="B65" s="112"/>
      <c r="C65" s="113"/>
      <c r="D65" s="113"/>
      <c r="E65" s="41" t="s">
        <v>299</v>
      </c>
      <c r="F65" s="97">
        <f t="shared" ref="F65:K65" si="12">F29</f>
        <v>2012</v>
      </c>
      <c r="G65" s="97">
        <f t="shared" si="12"/>
        <v>601</v>
      </c>
      <c r="H65" s="97">
        <f t="shared" si="12"/>
        <v>2298</v>
      </c>
      <c r="I65" s="97">
        <f t="shared" si="12"/>
        <v>2066</v>
      </c>
      <c r="J65" s="97">
        <f t="shared" si="12"/>
        <v>0</v>
      </c>
      <c r="K65" s="97">
        <f t="shared" si="12"/>
        <v>0</v>
      </c>
      <c r="L65" s="97">
        <f t="shared" si="11"/>
        <v>6977</v>
      </c>
      <c r="Q65" s="145"/>
      <c r="R65" s="112"/>
      <c r="U65" t="s">
        <v>674</v>
      </c>
      <c r="V65" s="97">
        <f t="shared" si="7"/>
        <v>1006</v>
      </c>
      <c r="W65" s="97">
        <f t="shared" si="3"/>
        <v>300.5</v>
      </c>
      <c r="X65" s="97">
        <f t="shared" si="4"/>
        <v>1149</v>
      </c>
      <c r="Y65" s="97"/>
      <c r="Z65" s="97">
        <f t="shared" si="5"/>
        <v>0</v>
      </c>
      <c r="AA65" s="97"/>
      <c r="AB65" s="97">
        <f t="shared" si="8"/>
        <v>2455.5</v>
      </c>
      <c r="AU65" t="s">
        <v>657</v>
      </c>
      <c r="AV65" t="s">
        <v>220</v>
      </c>
      <c r="AW65" s="75">
        <v>51875.97</v>
      </c>
    </row>
    <row r="66" spans="1:49" ht="17" customHeight="1">
      <c r="A66" s="145"/>
      <c r="B66" s="113"/>
      <c r="C66" s="490" t="s">
        <v>13</v>
      </c>
      <c r="D66" s="491"/>
      <c r="E66" s="491"/>
      <c r="F66" s="97">
        <f t="shared" ref="F66:K66" si="13">F30</f>
        <v>0</v>
      </c>
      <c r="G66" s="97">
        <f t="shared" si="13"/>
        <v>0</v>
      </c>
      <c r="H66" s="97">
        <f t="shared" si="13"/>
        <v>0</v>
      </c>
      <c r="I66" s="97">
        <f t="shared" si="13"/>
        <v>0</v>
      </c>
      <c r="J66" s="97">
        <f t="shared" si="13"/>
        <v>1639</v>
      </c>
      <c r="K66" s="97">
        <f t="shared" si="13"/>
        <v>17657</v>
      </c>
      <c r="L66" s="97">
        <f t="shared" si="11"/>
        <v>19297</v>
      </c>
      <c r="Q66" s="145"/>
      <c r="R66" s="113"/>
      <c r="S66" t="s">
        <v>13</v>
      </c>
      <c r="U66" t="s">
        <v>13</v>
      </c>
      <c r="V66" s="97">
        <f t="shared" si="7"/>
        <v>0</v>
      </c>
      <c r="W66" s="97">
        <f t="shared" si="3"/>
        <v>0</v>
      </c>
      <c r="X66" s="97">
        <f t="shared" si="4"/>
        <v>0</v>
      </c>
      <c r="Y66" s="97"/>
      <c r="Z66" s="97">
        <f t="shared" si="5"/>
        <v>819.5</v>
      </c>
      <c r="AA66" s="97"/>
      <c r="AB66" s="97">
        <f t="shared" si="8"/>
        <v>819.5</v>
      </c>
      <c r="AU66" t="s">
        <v>644</v>
      </c>
      <c r="AV66" t="s">
        <v>221</v>
      </c>
      <c r="AW66" s="75">
        <v>22244.514299999999</v>
      </c>
    </row>
    <row r="67" spans="1:49" ht="17" customHeight="1">
      <c r="A67" s="145"/>
      <c r="B67" s="300" t="s">
        <v>300</v>
      </c>
      <c r="C67" s="490" t="s">
        <v>301</v>
      </c>
      <c r="D67" s="491"/>
      <c r="E67" s="491"/>
      <c r="F67" s="97">
        <f t="shared" ref="F67:K67" si="14">F31</f>
        <v>0</v>
      </c>
      <c r="G67" s="97">
        <f t="shared" si="14"/>
        <v>0</v>
      </c>
      <c r="H67" s="97">
        <f t="shared" si="14"/>
        <v>0</v>
      </c>
      <c r="I67" s="97">
        <f t="shared" si="14"/>
        <v>0</v>
      </c>
      <c r="J67" s="97">
        <f t="shared" si="14"/>
        <v>28783</v>
      </c>
      <c r="K67" s="97">
        <f t="shared" si="14"/>
        <v>110819</v>
      </c>
      <c r="L67" s="97">
        <f t="shared" si="11"/>
        <v>139602</v>
      </c>
      <c r="Q67" s="145"/>
      <c r="R67" s="312" t="s">
        <v>300</v>
      </c>
      <c r="S67" t="s">
        <v>301</v>
      </c>
      <c r="U67" t="s">
        <v>301</v>
      </c>
      <c r="V67" s="97">
        <f t="shared" si="7"/>
        <v>0</v>
      </c>
      <c r="W67" s="97">
        <f t="shared" si="3"/>
        <v>0</v>
      </c>
      <c r="X67" s="97">
        <f t="shared" si="4"/>
        <v>0</v>
      </c>
      <c r="Y67" s="97"/>
      <c r="Z67" s="97">
        <f t="shared" si="5"/>
        <v>14391.5</v>
      </c>
      <c r="AA67" s="97"/>
      <c r="AB67" s="97">
        <f t="shared" si="8"/>
        <v>14391.5</v>
      </c>
      <c r="AU67" t="s">
        <v>370</v>
      </c>
      <c r="AV67" t="s">
        <v>372</v>
      </c>
      <c r="AW67" s="75">
        <v>20007.53</v>
      </c>
    </row>
    <row r="68" spans="1:49" ht="16.5" customHeight="1">
      <c r="A68" s="145"/>
      <c r="B68" s="295" t="s">
        <v>20</v>
      </c>
      <c r="C68" s="490" t="s">
        <v>302</v>
      </c>
      <c r="D68" s="491"/>
      <c r="E68" s="491"/>
      <c r="F68" s="97">
        <f t="shared" ref="F68:K68" si="15">F32</f>
        <v>0</v>
      </c>
      <c r="G68" s="97">
        <f t="shared" si="15"/>
        <v>0</v>
      </c>
      <c r="H68" s="97">
        <f t="shared" si="15"/>
        <v>0</v>
      </c>
      <c r="I68" s="97">
        <f t="shared" si="15"/>
        <v>0</v>
      </c>
      <c r="J68" s="97">
        <f t="shared" si="15"/>
        <v>343</v>
      </c>
      <c r="K68" s="97">
        <f t="shared" si="15"/>
        <v>363</v>
      </c>
      <c r="L68" s="97">
        <f t="shared" si="11"/>
        <v>706</v>
      </c>
      <c r="Q68" s="145"/>
      <c r="R68" s="311" t="s">
        <v>20</v>
      </c>
      <c r="S68" t="s">
        <v>302</v>
      </c>
      <c r="U68" t="s">
        <v>302</v>
      </c>
      <c r="V68" s="97">
        <f t="shared" si="7"/>
        <v>0</v>
      </c>
      <c r="W68" s="97">
        <f t="shared" si="3"/>
        <v>0</v>
      </c>
      <c r="X68" s="97">
        <f t="shared" si="4"/>
        <v>0</v>
      </c>
      <c r="Y68" s="97"/>
      <c r="Z68" s="97">
        <f t="shared" si="5"/>
        <v>171.5</v>
      </c>
      <c r="AA68" s="97"/>
      <c r="AB68" s="97">
        <f t="shared" si="8"/>
        <v>171.5</v>
      </c>
      <c r="AU68" s="163" t="s">
        <v>668</v>
      </c>
      <c r="AV68" t="s">
        <v>373</v>
      </c>
      <c r="AW68" s="75">
        <v>78804.9424</v>
      </c>
    </row>
    <row r="69" spans="1:49" ht="17.25" customHeight="1">
      <c r="A69" s="145"/>
      <c r="B69" s="295" t="s">
        <v>19</v>
      </c>
      <c r="C69" s="490" t="s">
        <v>303</v>
      </c>
      <c r="D69" s="491"/>
      <c r="E69" s="491"/>
      <c r="F69" s="97">
        <f t="shared" ref="F69:K69" si="16">F33</f>
        <v>0</v>
      </c>
      <c r="G69" s="97">
        <f t="shared" si="16"/>
        <v>0</v>
      </c>
      <c r="H69" s="97">
        <f t="shared" si="16"/>
        <v>0</v>
      </c>
      <c r="I69" s="97">
        <f t="shared" si="16"/>
        <v>0</v>
      </c>
      <c r="J69" s="97">
        <f t="shared" si="16"/>
        <v>607</v>
      </c>
      <c r="K69" s="97">
        <f t="shared" si="16"/>
        <v>7659</v>
      </c>
      <c r="L69" s="97">
        <f t="shared" si="11"/>
        <v>8266</v>
      </c>
      <c r="Q69" s="145"/>
      <c r="R69" s="311" t="s">
        <v>19</v>
      </c>
      <c r="S69" t="s">
        <v>303</v>
      </c>
      <c r="U69" t="s">
        <v>303</v>
      </c>
      <c r="V69" s="97">
        <f t="shared" si="7"/>
        <v>0</v>
      </c>
      <c r="W69" s="97">
        <f t="shared" si="3"/>
        <v>0</v>
      </c>
      <c r="X69" s="97">
        <f t="shared" si="4"/>
        <v>0</v>
      </c>
      <c r="Y69" s="97"/>
      <c r="Z69" s="97">
        <f t="shared" si="5"/>
        <v>303.5</v>
      </c>
      <c r="AA69" s="97"/>
      <c r="AB69" s="97">
        <f t="shared" si="8"/>
        <v>303.5</v>
      </c>
      <c r="AU69" t="s">
        <v>375</v>
      </c>
      <c r="AV69" t="s">
        <v>78</v>
      </c>
      <c r="AW69" s="75">
        <v>70189.171300000002</v>
      </c>
    </row>
    <row r="70" spans="1:49">
      <c r="A70" s="145"/>
      <c r="B70" s="112"/>
      <c r="C70" s="490" t="s">
        <v>304</v>
      </c>
      <c r="D70" s="491"/>
      <c r="E70" s="491"/>
      <c r="F70" s="97">
        <f t="shared" ref="F70:K70" si="17">F34</f>
        <v>0</v>
      </c>
      <c r="G70" s="97">
        <f t="shared" si="17"/>
        <v>0</v>
      </c>
      <c r="H70" s="97">
        <f t="shared" si="17"/>
        <v>0</v>
      </c>
      <c r="I70" s="97">
        <f t="shared" si="17"/>
        <v>0</v>
      </c>
      <c r="J70" s="97">
        <f t="shared" si="17"/>
        <v>56</v>
      </c>
      <c r="K70" s="97">
        <f t="shared" si="17"/>
        <v>0</v>
      </c>
      <c r="L70" s="97">
        <f t="shared" si="11"/>
        <v>56</v>
      </c>
      <c r="Q70" s="145"/>
      <c r="R70" s="112"/>
      <c r="S70" t="s">
        <v>304</v>
      </c>
      <c r="U70" t="s">
        <v>304</v>
      </c>
      <c r="V70" s="97">
        <f t="shared" si="7"/>
        <v>0</v>
      </c>
      <c r="W70" s="97">
        <f t="shared" si="3"/>
        <v>0</v>
      </c>
      <c r="X70" s="97">
        <f t="shared" si="4"/>
        <v>0</v>
      </c>
      <c r="Y70" s="97"/>
      <c r="Z70" s="97">
        <f t="shared" si="5"/>
        <v>28</v>
      </c>
      <c r="AA70" s="97"/>
      <c r="AB70" s="97">
        <f t="shared" si="8"/>
        <v>28</v>
      </c>
      <c r="AU70" t="s">
        <v>653</v>
      </c>
      <c r="AV70" t="s">
        <v>79</v>
      </c>
      <c r="AW70" s="75">
        <v>51949.691800000001</v>
      </c>
    </row>
    <row r="71" spans="1:49" ht="17" customHeight="1">
      <c r="A71" s="145"/>
      <c r="B71" s="112"/>
      <c r="C71" s="490" t="s">
        <v>305</v>
      </c>
      <c r="D71" s="491"/>
      <c r="E71" s="491"/>
      <c r="F71" s="97">
        <f t="shared" ref="F71:K71" si="18">F35</f>
        <v>0</v>
      </c>
      <c r="G71" s="97">
        <f t="shared" si="18"/>
        <v>0</v>
      </c>
      <c r="H71" s="97">
        <f t="shared" si="18"/>
        <v>0</v>
      </c>
      <c r="I71" s="97">
        <f t="shared" si="18"/>
        <v>0</v>
      </c>
      <c r="J71" s="97">
        <f t="shared" si="18"/>
        <v>173</v>
      </c>
      <c r="K71" s="97">
        <f t="shared" si="18"/>
        <v>2238</v>
      </c>
      <c r="L71" s="97">
        <f t="shared" si="11"/>
        <v>2411</v>
      </c>
      <c r="Q71" s="145"/>
      <c r="R71" s="112"/>
      <c r="S71" t="s">
        <v>305</v>
      </c>
      <c r="U71" t="s">
        <v>675</v>
      </c>
      <c r="V71" s="97">
        <f t="shared" si="7"/>
        <v>0</v>
      </c>
      <c r="W71" s="97">
        <f t="shared" si="3"/>
        <v>0</v>
      </c>
      <c r="X71" s="97">
        <f t="shared" si="4"/>
        <v>0</v>
      </c>
      <c r="Y71" s="97"/>
      <c r="Z71" s="97">
        <f t="shared" si="5"/>
        <v>86.5</v>
      </c>
      <c r="AA71" s="97"/>
      <c r="AB71" s="97">
        <f t="shared" si="8"/>
        <v>86.5</v>
      </c>
      <c r="AU71" t="s">
        <v>658</v>
      </c>
      <c r="AV71" t="s">
        <v>223</v>
      </c>
      <c r="AW71" s="75">
        <v>40441.3442</v>
      </c>
    </row>
    <row r="72" spans="1:49" ht="17.5" customHeight="1" thickBot="1">
      <c r="A72" s="146"/>
      <c r="B72" s="147"/>
      <c r="C72" s="492" t="s">
        <v>47</v>
      </c>
      <c r="D72" s="493"/>
      <c r="E72" s="493"/>
      <c r="F72" s="97">
        <f t="shared" ref="F72:K72" si="19">F36</f>
        <v>0</v>
      </c>
      <c r="G72" s="97">
        <f t="shared" si="19"/>
        <v>0</v>
      </c>
      <c r="H72" s="97">
        <f t="shared" si="19"/>
        <v>0</v>
      </c>
      <c r="I72" s="97">
        <f t="shared" si="19"/>
        <v>0</v>
      </c>
      <c r="J72" s="97">
        <f t="shared" si="19"/>
        <v>14989</v>
      </c>
      <c r="K72" s="97">
        <f t="shared" si="19"/>
        <v>46691</v>
      </c>
      <c r="L72" s="97">
        <f t="shared" si="11"/>
        <v>61681</v>
      </c>
      <c r="Q72" s="146"/>
      <c r="R72" s="147"/>
      <c r="S72" t="s">
        <v>47</v>
      </c>
      <c r="U72" t="s">
        <v>47</v>
      </c>
      <c r="V72" s="97">
        <f t="shared" si="7"/>
        <v>0</v>
      </c>
      <c r="W72" s="97">
        <f t="shared" si="3"/>
        <v>0</v>
      </c>
      <c r="X72" s="97">
        <f t="shared" si="4"/>
        <v>0</v>
      </c>
      <c r="Y72" s="97"/>
      <c r="Z72" s="97">
        <f t="shared" si="5"/>
        <v>7494.5</v>
      </c>
      <c r="AA72" s="97"/>
      <c r="AB72" s="97">
        <f t="shared" si="8"/>
        <v>7494.5</v>
      </c>
      <c r="AU72" s="163" t="s">
        <v>672</v>
      </c>
      <c r="AV72" t="s">
        <v>85</v>
      </c>
      <c r="AW72" s="75">
        <v>53247.161800000002</v>
      </c>
    </row>
    <row r="73" spans="1:49">
      <c r="L73" s="97">
        <f>SUM(L61:L72)</f>
        <v>304600</v>
      </c>
      <c r="U73" t="s">
        <v>677</v>
      </c>
      <c r="V73" s="97">
        <f t="shared" ref="V73:X73" si="20">SUM(V61:V72)</f>
        <v>10129.5</v>
      </c>
      <c r="W73" s="97">
        <f t="shared" si="20"/>
        <v>3025.5</v>
      </c>
      <c r="X73" s="97">
        <f t="shared" si="20"/>
        <v>11569</v>
      </c>
      <c r="Z73" s="97">
        <f>SUM(Z61:Z72)</f>
        <v>23295</v>
      </c>
      <c r="AB73" s="97">
        <f t="shared" si="8"/>
        <v>48019</v>
      </c>
      <c r="AU73" t="s">
        <v>654</v>
      </c>
      <c r="AV73" t="s">
        <v>113</v>
      </c>
      <c r="AW73" s="75">
        <v>8507.8255000000008</v>
      </c>
    </row>
    <row r="74" spans="1:49" ht="23">
      <c r="A74" s="154" t="s">
        <v>331</v>
      </c>
      <c r="AU74" t="s">
        <v>645</v>
      </c>
      <c r="AV74" t="s">
        <v>659</v>
      </c>
      <c r="AW74" s="75">
        <v>5790.3404</v>
      </c>
    </row>
    <row r="75" spans="1:49">
      <c r="A75" s="32" t="s">
        <v>308</v>
      </c>
      <c r="AU75" t="s">
        <v>136</v>
      </c>
      <c r="AV75" t="s">
        <v>382</v>
      </c>
      <c r="AW75" s="75">
        <v>1771.3566000000001</v>
      </c>
    </row>
    <row r="76" spans="1:49" ht="17.5" thickBot="1">
      <c r="AU76" t="s">
        <v>654</v>
      </c>
      <c r="AV76" t="s">
        <v>383</v>
      </c>
      <c r="AW76" s="75">
        <v>6231.1390000000001</v>
      </c>
    </row>
    <row r="77" spans="1:49" ht="17.5" thickTop="1">
      <c r="A77" s="484" t="s">
        <v>175</v>
      </c>
      <c r="B77" s="485"/>
      <c r="C77" s="485"/>
      <c r="D77" s="485"/>
      <c r="E77" s="486"/>
      <c r="F77" s="479" t="s">
        <v>165</v>
      </c>
      <c r="G77" s="480"/>
      <c r="H77" s="481"/>
      <c r="I77" s="105" t="s">
        <v>284</v>
      </c>
      <c r="J77" s="105" t="s">
        <v>286</v>
      </c>
      <c r="K77" s="105" t="s">
        <v>287</v>
      </c>
      <c r="L77" s="482" t="s">
        <v>21</v>
      </c>
      <c r="Q77" s="484" t="s">
        <v>175</v>
      </c>
      <c r="R77" s="485"/>
      <c r="S77" s="485"/>
      <c r="T77" s="485"/>
      <c r="U77" s="486"/>
      <c r="V77" s="479" t="s">
        <v>165</v>
      </c>
      <c r="W77" s="480"/>
      <c r="X77" s="481"/>
      <c r="Y77" s="105" t="s">
        <v>284</v>
      </c>
      <c r="Z77" s="105" t="s">
        <v>286</v>
      </c>
      <c r="AA77" s="105" t="s">
        <v>287</v>
      </c>
      <c r="AB77" s="482" t="s">
        <v>21</v>
      </c>
      <c r="AU77" t="s">
        <v>646</v>
      </c>
      <c r="AV77" t="s">
        <v>660</v>
      </c>
      <c r="AW77" s="75">
        <v>11058.6175</v>
      </c>
    </row>
    <row r="78" spans="1:49" ht="17.5" thickBot="1">
      <c r="A78" s="487"/>
      <c r="B78" s="488"/>
      <c r="C78" s="488"/>
      <c r="D78" s="488"/>
      <c r="E78" s="489"/>
      <c r="F78" s="107" t="s">
        <v>44</v>
      </c>
      <c r="G78" s="107" t="s">
        <v>45</v>
      </c>
      <c r="H78" s="107" t="s">
        <v>46</v>
      </c>
      <c r="I78" s="106" t="s">
        <v>285</v>
      </c>
      <c r="J78" s="106" t="s">
        <v>285</v>
      </c>
      <c r="K78" s="106" t="s">
        <v>285</v>
      </c>
      <c r="L78" s="483"/>
      <c r="Q78" s="487"/>
      <c r="R78" s="488"/>
      <c r="S78" s="488"/>
      <c r="T78" s="488"/>
      <c r="U78" s="489"/>
      <c r="V78" s="107" t="s">
        <v>44</v>
      </c>
      <c r="W78" s="107" t="s">
        <v>45</v>
      </c>
      <c r="X78" s="107" t="s">
        <v>46</v>
      </c>
      <c r="Y78" s="106" t="s">
        <v>285</v>
      </c>
      <c r="Z78" s="106" t="s">
        <v>285</v>
      </c>
      <c r="AA78" s="106" t="s">
        <v>285</v>
      </c>
      <c r="AB78" s="483"/>
      <c r="AU78" t="s">
        <v>647</v>
      </c>
      <c r="AV78" t="s">
        <v>103</v>
      </c>
      <c r="AW78" s="75">
        <v>11210.3078</v>
      </c>
    </row>
    <row r="79" spans="1:49" ht="17.5" thickTop="1">
      <c r="A79" s="145">
        <v>2027</v>
      </c>
      <c r="B79" s="300" t="s">
        <v>289</v>
      </c>
      <c r="C79" s="300"/>
      <c r="D79" s="490" t="s">
        <v>135</v>
      </c>
      <c r="E79" s="491"/>
      <c r="F79" s="97">
        <f t="shared" ref="F79:K79" si="21">F40</f>
        <v>437</v>
      </c>
      <c r="G79" s="97">
        <f t="shared" si="21"/>
        <v>130</v>
      </c>
      <c r="H79" s="97">
        <f t="shared" si="21"/>
        <v>499</v>
      </c>
      <c r="I79" s="97">
        <f t="shared" si="21"/>
        <v>440</v>
      </c>
      <c r="J79" s="97">
        <f t="shared" si="21"/>
        <v>0</v>
      </c>
      <c r="K79" s="97">
        <f t="shared" si="21"/>
        <v>0</v>
      </c>
      <c r="L79" s="97">
        <f>L40</f>
        <v>1506</v>
      </c>
      <c r="Q79" s="145">
        <v>2027</v>
      </c>
      <c r="R79" s="312" t="s">
        <v>289</v>
      </c>
      <c r="S79" s="312"/>
      <c r="T79" s="316" t="s">
        <v>135</v>
      </c>
      <c r="U79" s="317" t="s">
        <v>12</v>
      </c>
      <c r="V79" s="97">
        <f>F79/2</f>
        <v>218.5</v>
      </c>
      <c r="W79" s="97">
        <f t="shared" ref="W79:W90" si="22">G79/2</f>
        <v>65</v>
      </c>
      <c r="X79" s="97">
        <f t="shared" ref="X79:X90" si="23">H79/2</f>
        <v>249.5</v>
      </c>
      <c r="Y79" s="97">
        <f t="shared" ref="Y79:Y90" si="24">I79/2</f>
        <v>220</v>
      </c>
      <c r="Z79" s="97">
        <f t="shared" ref="Z79:Z90" si="25">J79/2</f>
        <v>0</v>
      </c>
      <c r="AA79" s="97">
        <f t="shared" ref="AA79:AA90" si="26">K79/2</f>
        <v>0</v>
      </c>
      <c r="AB79" s="97">
        <f>SUM(V79:X79)+Z79</f>
        <v>533</v>
      </c>
      <c r="AU79" t="s">
        <v>647</v>
      </c>
      <c r="AV79" t="s">
        <v>104</v>
      </c>
      <c r="AW79" s="75">
        <v>10719.050499999999</v>
      </c>
    </row>
    <row r="80" spans="1:49" ht="32">
      <c r="A80" s="145"/>
      <c r="B80" s="295" t="s">
        <v>290</v>
      </c>
      <c r="C80" s="112"/>
      <c r="D80" s="494" t="s">
        <v>322</v>
      </c>
      <c r="E80" s="41" t="s">
        <v>296</v>
      </c>
      <c r="F80" s="97">
        <f t="shared" ref="F80:K80" si="27">F43</f>
        <v>9511</v>
      </c>
      <c r="G80" s="97">
        <f t="shared" si="27"/>
        <v>2841</v>
      </c>
      <c r="H80" s="97">
        <f t="shared" si="27"/>
        <v>10863</v>
      </c>
      <c r="I80" s="97">
        <f t="shared" si="27"/>
        <v>11872</v>
      </c>
      <c r="J80" s="97">
        <f t="shared" si="27"/>
        <v>0</v>
      </c>
      <c r="K80" s="97">
        <f t="shared" si="27"/>
        <v>0</v>
      </c>
      <c r="L80" s="97">
        <f>L43</f>
        <v>35088</v>
      </c>
      <c r="Q80" s="145"/>
      <c r="R80" s="311" t="s">
        <v>290</v>
      </c>
      <c r="S80" s="112"/>
      <c r="T80" s="318" t="s">
        <v>322</v>
      </c>
      <c r="U80" s="41" t="s">
        <v>667</v>
      </c>
      <c r="V80" s="97">
        <f t="shared" ref="V80:V90" si="28">F80/2</f>
        <v>4755.5</v>
      </c>
      <c r="W80" s="97">
        <f t="shared" si="22"/>
        <v>1420.5</v>
      </c>
      <c r="X80" s="97">
        <f t="shared" si="23"/>
        <v>5431.5</v>
      </c>
      <c r="Y80" s="97">
        <f t="shared" si="24"/>
        <v>5936</v>
      </c>
      <c r="Z80" s="97">
        <f t="shared" si="25"/>
        <v>0</v>
      </c>
      <c r="AA80" s="97">
        <f t="shared" si="26"/>
        <v>0</v>
      </c>
      <c r="AB80" s="97">
        <f t="shared" ref="AB80:AB91" si="29">SUM(V80:X80)+Z80</f>
        <v>11607.5</v>
      </c>
      <c r="AU80" t="s">
        <v>647</v>
      </c>
      <c r="AV80" t="s">
        <v>117</v>
      </c>
      <c r="AW80" s="75">
        <v>25550.6122</v>
      </c>
    </row>
    <row r="81" spans="1:158" ht="32">
      <c r="A81" s="145"/>
      <c r="B81" s="295" t="s">
        <v>19</v>
      </c>
      <c r="C81" s="112"/>
      <c r="D81" s="495"/>
      <c r="E81" s="41" t="s">
        <v>297</v>
      </c>
      <c r="F81" s="97">
        <f t="shared" ref="F81:K81" si="30">F44</f>
        <v>7149</v>
      </c>
      <c r="G81" s="97">
        <f t="shared" si="30"/>
        <v>2136</v>
      </c>
      <c r="H81" s="97">
        <f t="shared" si="30"/>
        <v>8165</v>
      </c>
      <c r="I81" s="97">
        <f t="shared" si="30"/>
        <v>7204</v>
      </c>
      <c r="J81" s="97">
        <f t="shared" si="30"/>
        <v>0</v>
      </c>
      <c r="K81" s="97">
        <f t="shared" si="30"/>
        <v>0</v>
      </c>
      <c r="L81" s="97">
        <f>L44</f>
        <v>24653</v>
      </c>
      <c r="Q81" s="145"/>
      <c r="R81" s="311" t="s">
        <v>19</v>
      </c>
      <c r="S81" s="112"/>
      <c r="T81" s="319"/>
      <c r="U81" s="41" t="s">
        <v>669</v>
      </c>
      <c r="V81" s="97">
        <f t="shared" si="28"/>
        <v>3574.5</v>
      </c>
      <c r="W81" s="97">
        <f t="shared" si="22"/>
        <v>1068</v>
      </c>
      <c r="X81" s="97">
        <f t="shared" si="23"/>
        <v>4082.5</v>
      </c>
      <c r="Y81" s="97">
        <f t="shared" si="24"/>
        <v>3602</v>
      </c>
      <c r="Z81" s="97">
        <f t="shared" si="25"/>
        <v>0</v>
      </c>
      <c r="AA81" s="97">
        <f t="shared" si="26"/>
        <v>0</v>
      </c>
      <c r="AB81" s="97">
        <f t="shared" si="29"/>
        <v>8725</v>
      </c>
      <c r="AU81" t="s">
        <v>647</v>
      </c>
      <c r="AV81" t="s">
        <v>118</v>
      </c>
      <c r="AW81" s="75">
        <v>13315.3163</v>
      </c>
    </row>
    <row r="82" spans="1:158" ht="32">
      <c r="A82" s="145"/>
      <c r="B82" s="112"/>
      <c r="C82" s="112"/>
      <c r="D82" s="295" t="s">
        <v>197</v>
      </c>
      <c r="E82" s="41" t="s">
        <v>297</v>
      </c>
      <c r="F82" s="97">
        <f t="shared" ref="F82:K82" si="31">F46</f>
        <v>1150</v>
      </c>
      <c r="G82" s="97">
        <f t="shared" si="31"/>
        <v>343</v>
      </c>
      <c r="H82" s="97">
        <f t="shared" si="31"/>
        <v>1313</v>
      </c>
      <c r="I82" s="97">
        <f t="shared" si="31"/>
        <v>1159</v>
      </c>
      <c r="J82" s="97">
        <f t="shared" si="31"/>
        <v>0</v>
      </c>
      <c r="K82" s="97">
        <f t="shared" si="31"/>
        <v>0</v>
      </c>
      <c r="L82" s="97">
        <f t="shared" ref="L82:L90" si="32">L46</f>
        <v>3965</v>
      </c>
      <c r="Q82" s="145"/>
      <c r="R82" s="112"/>
      <c r="S82" s="112"/>
      <c r="T82" s="311" t="s">
        <v>197</v>
      </c>
      <c r="U82" s="41" t="s">
        <v>671</v>
      </c>
      <c r="V82" s="97">
        <f t="shared" si="28"/>
        <v>575</v>
      </c>
      <c r="W82" s="97">
        <f t="shared" si="22"/>
        <v>171.5</v>
      </c>
      <c r="X82" s="97">
        <f t="shared" si="23"/>
        <v>656.5</v>
      </c>
      <c r="Y82" s="97">
        <f t="shared" si="24"/>
        <v>579.5</v>
      </c>
      <c r="Z82" s="97">
        <f t="shared" si="25"/>
        <v>0</v>
      </c>
      <c r="AA82" s="97">
        <f t="shared" si="26"/>
        <v>0</v>
      </c>
      <c r="AB82" s="97">
        <f t="shared" si="29"/>
        <v>1403</v>
      </c>
      <c r="AU82" t="s">
        <v>655</v>
      </c>
      <c r="AV82" t="s">
        <v>105</v>
      </c>
      <c r="AW82" s="75">
        <v>15739.680700000001</v>
      </c>
    </row>
    <row r="83" spans="1:158" ht="16.5" customHeight="1">
      <c r="A83" s="145"/>
      <c r="B83" s="112"/>
      <c r="C83" s="113"/>
      <c r="D83" s="113"/>
      <c r="E83" s="41" t="s">
        <v>299</v>
      </c>
      <c r="F83" s="97">
        <f t="shared" ref="F83:K83" si="33">F47</f>
        <v>2012</v>
      </c>
      <c r="G83" s="97">
        <f t="shared" si="33"/>
        <v>601</v>
      </c>
      <c r="H83" s="97">
        <f t="shared" si="33"/>
        <v>2298</v>
      </c>
      <c r="I83" s="97">
        <f t="shared" si="33"/>
        <v>2028</v>
      </c>
      <c r="J83" s="97">
        <f t="shared" si="33"/>
        <v>0</v>
      </c>
      <c r="K83" s="97">
        <f t="shared" si="33"/>
        <v>0</v>
      </c>
      <c r="L83" s="97">
        <f t="shared" si="32"/>
        <v>6939</v>
      </c>
      <c r="Q83" s="145"/>
      <c r="R83" s="112"/>
      <c r="S83" s="113"/>
      <c r="T83" s="113"/>
      <c r="U83" s="41" t="s">
        <v>673</v>
      </c>
      <c r="V83" s="97">
        <f t="shared" si="28"/>
        <v>1006</v>
      </c>
      <c r="W83" s="97">
        <f t="shared" si="22"/>
        <v>300.5</v>
      </c>
      <c r="X83" s="97">
        <f t="shared" si="23"/>
        <v>1149</v>
      </c>
      <c r="Y83" s="97">
        <f t="shared" si="24"/>
        <v>1014</v>
      </c>
      <c r="Z83" s="97">
        <f t="shared" si="25"/>
        <v>0</v>
      </c>
      <c r="AA83" s="97">
        <f t="shared" si="26"/>
        <v>0</v>
      </c>
      <c r="AB83" s="97">
        <f t="shared" si="29"/>
        <v>2455.5</v>
      </c>
      <c r="AU83" t="s">
        <v>655</v>
      </c>
      <c r="AV83" t="s">
        <v>648</v>
      </c>
      <c r="AW83" s="75">
        <v>34908.721899999997</v>
      </c>
    </row>
    <row r="84" spans="1:158" ht="16.5" customHeight="1">
      <c r="A84" s="145"/>
      <c r="B84" s="113"/>
      <c r="C84" s="490" t="s">
        <v>13</v>
      </c>
      <c r="D84" s="491"/>
      <c r="E84" s="491"/>
      <c r="F84" s="97">
        <f t="shared" ref="F84:K84" si="34">F48</f>
        <v>0</v>
      </c>
      <c r="G84" s="97">
        <f t="shared" si="34"/>
        <v>0</v>
      </c>
      <c r="H84" s="97">
        <f t="shared" si="34"/>
        <v>0</v>
      </c>
      <c r="I84" s="97">
        <f t="shared" si="34"/>
        <v>0</v>
      </c>
      <c r="J84" s="97">
        <f t="shared" si="34"/>
        <v>1639</v>
      </c>
      <c r="K84" s="97">
        <f t="shared" si="34"/>
        <v>17330</v>
      </c>
      <c r="L84" s="97">
        <f t="shared" si="32"/>
        <v>18969</v>
      </c>
      <c r="Q84" s="145"/>
      <c r="R84" s="113"/>
      <c r="S84" s="316" t="s">
        <v>13</v>
      </c>
      <c r="T84" s="317"/>
      <c r="U84" s="317" t="s">
        <v>13</v>
      </c>
      <c r="V84" s="97">
        <f t="shared" si="28"/>
        <v>0</v>
      </c>
      <c r="W84" s="97">
        <f t="shared" si="22"/>
        <v>0</v>
      </c>
      <c r="X84" s="97">
        <f t="shared" si="23"/>
        <v>0</v>
      </c>
      <c r="Y84" s="97">
        <f t="shared" si="24"/>
        <v>0</v>
      </c>
      <c r="Z84" s="97">
        <f t="shared" si="25"/>
        <v>819.5</v>
      </c>
      <c r="AA84" s="97">
        <f t="shared" si="26"/>
        <v>8665</v>
      </c>
      <c r="AB84" s="97">
        <f t="shared" si="29"/>
        <v>819.5</v>
      </c>
      <c r="AU84" t="s">
        <v>661</v>
      </c>
      <c r="AV84" t="s">
        <v>125</v>
      </c>
      <c r="AW84" s="75">
        <v>4662.5794999999998</v>
      </c>
    </row>
    <row r="85" spans="1:158" ht="17" customHeight="1">
      <c r="A85" s="145"/>
      <c r="B85" s="300" t="s">
        <v>300</v>
      </c>
      <c r="C85" s="490" t="s">
        <v>301</v>
      </c>
      <c r="D85" s="491"/>
      <c r="E85" s="491"/>
      <c r="F85" s="97">
        <f t="shared" ref="F85:K85" si="35">F49</f>
        <v>0</v>
      </c>
      <c r="G85" s="97">
        <f t="shared" si="35"/>
        <v>0</v>
      </c>
      <c r="H85" s="97">
        <f t="shared" si="35"/>
        <v>0</v>
      </c>
      <c r="I85" s="97">
        <f t="shared" si="35"/>
        <v>0</v>
      </c>
      <c r="J85" s="97">
        <f t="shared" si="35"/>
        <v>28783</v>
      </c>
      <c r="K85" s="97">
        <f t="shared" si="35"/>
        <v>108761</v>
      </c>
      <c r="L85" s="97">
        <f t="shared" si="32"/>
        <v>137544</v>
      </c>
      <c r="Q85" s="145"/>
      <c r="R85" s="312" t="s">
        <v>300</v>
      </c>
      <c r="S85" s="316" t="s">
        <v>301</v>
      </c>
      <c r="T85" s="317"/>
      <c r="U85" s="317" t="s">
        <v>301</v>
      </c>
      <c r="V85" s="97">
        <f t="shared" si="28"/>
        <v>0</v>
      </c>
      <c r="W85" s="97">
        <f t="shared" si="22"/>
        <v>0</v>
      </c>
      <c r="X85" s="97">
        <f t="shared" si="23"/>
        <v>0</v>
      </c>
      <c r="Y85" s="97">
        <f t="shared" si="24"/>
        <v>0</v>
      </c>
      <c r="Z85" s="97">
        <f t="shared" si="25"/>
        <v>14391.5</v>
      </c>
      <c r="AA85" s="97">
        <f t="shared" si="26"/>
        <v>54380.5</v>
      </c>
      <c r="AB85" s="97">
        <f t="shared" si="29"/>
        <v>14391.5</v>
      </c>
      <c r="AU85" t="s">
        <v>649</v>
      </c>
      <c r="AV85" t="s">
        <v>650</v>
      </c>
      <c r="AW85" s="75">
        <v>1500.06</v>
      </c>
    </row>
    <row r="86" spans="1:158">
      <c r="A86" s="145"/>
      <c r="B86" s="295" t="s">
        <v>20</v>
      </c>
      <c r="C86" s="490" t="s">
        <v>302</v>
      </c>
      <c r="D86" s="491"/>
      <c r="E86" s="491"/>
      <c r="F86" s="97">
        <f t="shared" ref="F86:K86" si="36">F50</f>
        <v>0</v>
      </c>
      <c r="G86" s="97">
        <f t="shared" si="36"/>
        <v>0</v>
      </c>
      <c r="H86" s="97">
        <f t="shared" si="36"/>
        <v>0</v>
      </c>
      <c r="I86" s="97">
        <f t="shared" si="36"/>
        <v>0</v>
      </c>
      <c r="J86" s="97">
        <f t="shared" si="36"/>
        <v>343</v>
      </c>
      <c r="K86" s="97">
        <f t="shared" si="36"/>
        <v>357</v>
      </c>
      <c r="L86" s="97">
        <f t="shared" si="32"/>
        <v>699</v>
      </c>
      <c r="Q86" s="145"/>
      <c r="R86" s="311" t="s">
        <v>20</v>
      </c>
      <c r="S86" s="316" t="s">
        <v>302</v>
      </c>
      <c r="T86" s="317"/>
      <c r="U86" s="317" t="s">
        <v>302</v>
      </c>
      <c r="V86" s="97">
        <f t="shared" si="28"/>
        <v>0</v>
      </c>
      <c r="W86" s="97">
        <f t="shared" si="22"/>
        <v>0</v>
      </c>
      <c r="X86" s="97">
        <f t="shared" si="23"/>
        <v>0</v>
      </c>
      <c r="Y86" s="97">
        <f t="shared" si="24"/>
        <v>0</v>
      </c>
      <c r="Z86" s="97">
        <f t="shared" si="25"/>
        <v>171.5</v>
      </c>
      <c r="AA86" s="97">
        <f t="shared" si="26"/>
        <v>178.5</v>
      </c>
      <c r="AB86" s="97">
        <f t="shared" si="29"/>
        <v>171.5</v>
      </c>
      <c r="AU86" t="s">
        <v>649</v>
      </c>
      <c r="AV86" t="s">
        <v>393</v>
      </c>
      <c r="AW86" s="75">
        <v>1939.5264</v>
      </c>
    </row>
    <row r="87" spans="1:158">
      <c r="A87" s="145"/>
      <c r="B87" s="295" t="s">
        <v>19</v>
      </c>
      <c r="C87" s="490" t="s">
        <v>303</v>
      </c>
      <c r="D87" s="491"/>
      <c r="E87" s="491"/>
      <c r="F87" s="97">
        <f t="shared" ref="F87:K87" si="37">F51</f>
        <v>0</v>
      </c>
      <c r="G87" s="97">
        <f t="shared" si="37"/>
        <v>0</v>
      </c>
      <c r="H87" s="97">
        <f t="shared" si="37"/>
        <v>0</v>
      </c>
      <c r="I87" s="97">
        <f t="shared" si="37"/>
        <v>0</v>
      </c>
      <c r="J87" s="97">
        <f t="shared" si="37"/>
        <v>607</v>
      </c>
      <c r="K87" s="97">
        <f t="shared" si="37"/>
        <v>7517</v>
      </c>
      <c r="L87" s="97">
        <f t="shared" si="32"/>
        <v>8124</v>
      </c>
      <c r="Q87" s="145"/>
      <c r="R87" s="311" t="s">
        <v>19</v>
      </c>
      <c r="S87" s="316" t="s">
        <v>303</v>
      </c>
      <c r="T87" s="317"/>
      <c r="U87" s="317" t="s">
        <v>303</v>
      </c>
      <c r="V87" s="97">
        <f t="shared" si="28"/>
        <v>0</v>
      </c>
      <c r="W87" s="97">
        <f t="shared" si="22"/>
        <v>0</v>
      </c>
      <c r="X87" s="97">
        <f t="shared" si="23"/>
        <v>0</v>
      </c>
      <c r="Y87" s="97">
        <f t="shared" si="24"/>
        <v>0</v>
      </c>
      <c r="Z87" s="97">
        <f t="shared" si="25"/>
        <v>303.5</v>
      </c>
      <c r="AA87" s="97">
        <f t="shared" si="26"/>
        <v>3758.5</v>
      </c>
      <c r="AB87" s="97">
        <f t="shared" si="29"/>
        <v>303.5</v>
      </c>
      <c r="AU87" t="s">
        <v>662</v>
      </c>
      <c r="AV87" t="s">
        <v>395</v>
      </c>
      <c r="AW87" s="75">
        <v>2026.3647000000001</v>
      </c>
    </row>
    <row r="88" spans="1:158" ht="16.5" customHeight="1">
      <c r="A88" s="145"/>
      <c r="B88" s="112"/>
      <c r="C88" s="490" t="s">
        <v>304</v>
      </c>
      <c r="D88" s="491"/>
      <c r="E88" s="491"/>
      <c r="F88" s="97">
        <f t="shared" ref="F88:K88" si="38">F52</f>
        <v>0</v>
      </c>
      <c r="G88" s="97">
        <f t="shared" si="38"/>
        <v>0</v>
      </c>
      <c r="H88" s="97">
        <f t="shared" si="38"/>
        <v>0</v>
      </c>
      <c r="I88" s="97">
        <f t="shared" si="38"/>
        <v>0</v>
      </c>
      <c r="J88" s="97">
        <f t="shared" si="38"/>
        <v>56</v>
      </c>
      <c r="K88" s="97">
        <f t="shared" si="38"/>
        <v>0</v>
      </c>
      <c r="L88" s="97">
        <f t="shared" si="32"/>
        <v>56</v>
      </c>
      <c r="Q88" s="145"/>
      <c r="R88" s="112"/>
      <c r="S88" s="316" t="s">
        <v>304</v>
      </c>
      <c r="T88" s="317"/>
      <c r="U88" s="317" t="s">
        <v>304</v>
      </c>
      <c r="V88" s="97">
        <f t="shared" si="28"/>
        <v>0</v>
      </c>
      <c r="W88" s="97">
        <f t="shared" si="22"/>
        <v>0</v>
      </c>
      <c r="X88" s="97">
        <f t="shared" si="23"/>
        <v>0</v>
      </c>
      <c r="Y88" s="97">
        <f t="shared" si="24"/>
        <v>0</v>
      </c>
      <c r="Z88" s="97">
        <f t="shared" si="25"/>
        <v>28</v>
      </c>
      <c r="AA88" s="97">
        <f t="shared" si="26"/>
        <v>0</v>
      </c>
      <c r="AB88" s="97">
        <f t="shared" si="29"/>
        <v>28</v>
      </c>
      <c r="AU88" t="s">
        <v>208</v>
      </c>
      <c r="AV88" t="s">
        <v>651</v>
      </c>
      <c r="AW88" s="75">
        <v>41993.0622</v>
      </c>
    </row>
    <row r="89" spans="1:158" ht="17.25" customHeight="1">
      <c r="A89" s="145"/>
      <c r="B89" s="112"/>
      <c r="C89" s="490" t="s">
        <v>305</v>
      </c>
      <c r="D89" s="491"/>
      <c r="E89" s="491"/>
      <c r="F89" s="97">
        <f t="shared" ref="F89:K89" si="39">F53</f>
        <v>0</v>
      </c>
      <c r="G89" s="97">
        <f t="shared" si="39"/>
        <v>0</v>
      </c>
      <c r="H89" s="97">
        <f t="shared" si="39"/>
        <v>0</v>
      </c>
      <c r="I89" s="97">
        <f t="shared" si="39"/>
        <v>0</v>
      </c>
      <c r="J89" s="97">
        <f t="shared" si="39"/>
        <v>173</v>
      </c>
      <c r="K89" s="97">
        <f t="shared" si="39"/>
        <v>2196</v>
      </c>
      <c r="L89" s="97">
        <f t="shared" si="32"/>
        <v>2369</v>
      </c>
      <c r="Q89" s="145"/>
      <c r="R89" s="112"/>
      <c r="S89" s="316" t="s">
        <v>305</v>
      </c>
      <c r="T89" s="317"/>
      <c r="U89" s="317" t="s">
        <v>305</v>
      </c>
      <c r="V89" s="97">
        <f t="shared" si="28"/>
        <v>0</v>
      </c>
      <c r="W89" s="97">
        <f t="shared" si="22"/>
        <v>0</v>
      </c>
      <c r="X89" s="97">
        <f t="shared" si="23"/>
        <v>0</v>
      </c>
      <c r="Y89" s="97">
        <f t="shared" si="24"/>
        <v>0</v>
      </c>
      <c r="Z89" s="97">
        <f t="shared" si="25"/>
        <v>86.5</v>
      </c>
      <c r="AA89" s="97">
        <f t="shared" si="26"/>
        <v>1098</v>
      </c>
      <c r="AB89" s="97">
        <f t="shared" si="29"/>
        <v>86.5</v>
      </c>
      <c r="AU89" t="s">
        <v>652</v>
      </c>
      <c r="AV89" t="s">
        <v>398</v>
      </c>
      <c r="AW89" s="75">
        <v>63842.682699999998</v>
      </c>
    </row>
    <row r="90" spans="1:158" ht="17.5" customHeight="1" thickBot="1">
      <c r="A90" s="146"/>
      <c r="B90" s="147"/>
      <c r="C90" s="492" t="s">
        <v>47</v>
      </c>
      <c r="D90" s="493"/>
      <c r="E90" s="493"/>
      <c r="F90" s="97">
        <f t="shared" ref="F90:K90" si="40">F54</f>
        <v>0</v>
      </c>
      <c r="G90" s="97">
        <f t="shared" si="40"/>
        <v>0</v>
      </c>
      <c r="H90" s="97">
        <f t="shared" si="40"/>
        <v>0</v>
      </c>
      <c r="I90" s="97">
        <f t="shared" si="40"/>
        <v>0</v>
      </c>
      <c r="J90" s="97">
        <f t="shared" si="40"/>
        <v>14989</v>
      </c>
      <c r="K90" s="97">
        <f t="shared" si="40"/>
        <v>45824</v>
      </c>
      <c r="L90" s="97">
        <f t="shared" si="32"/>
        <v>60814</v>
      </c>
      <c r="Q90" s="146"/>
      <c r="R90" s="147"/>
      <c r="S90" s="320" t="s">
        <v>47</v>
      </c>
      <c r="T90" s="321"/>
      <c r="U90" s="321" t="s">
        <v>47</v>
      </c>
      <c r="V90" s="97">
        <f t="shared" si="28"/>
        <v>0</v>
      </c>
      <c r="W90" s="97">
        <f t="shared" si="22"/>
        <v>0</v>
      </c>
      <c r="X90" s="97">
        <f t="shared" si="23"/>
        <v>0</v>
      </c>
      <c r="Y90" s="97">
        <f t="shared" si="24"/>
        <v>0</v>
      </c>
      <c r="Z90" s="97">
        <f t="shared" si="25"/>
        <v>7494.5</v>
      </c>
      <c r="AA90" s="97">
        <f t="shared" si="26"/>
        <v>22912</v>
      </c>
      <c r="AB90" s="97">
        <f t="shared" si="29"/>
        <v>7494.5</v>
      </c>
    </row>
    <row r="91" spans="1:158">
      <c r="L91" s="97">
        <f>SUM(L79:L90)</f>
        <v>300726</v>
      </c>
      <c r="U91" t="s">
        <v>677</v>
      </c>
      <c r="V91" s="97">
        <f>SUM(V79:V90)</f>
        <v>10129.5</v>
      </c>
      <c r="W91">
        <f t="shared" ref="W91" si="41">SUM(W79:W90)</f>
        <v>3025.5</v>
      </c>
      <c r="X91">
        <f t="shared" ref="X91" si="42">SUM(X79:X90)</f>
        <v>11569</v>
      </c>
      <c r="Y91">
        <f t="shared" ref="Y91" si="43">SUM(Y79:Y90)</f>
        <v>11351.5</v>
      </c>
      <c r="Z91">
        <f t="shared" ref="Z91" si="44">SUM(Z79:Z90)</f>
        <v>23295</v>
      </c>
      <c r="AA91">
        <f t="shared" ref="AA91" si="45">SUM(AA79:AA90)</f>
        <v>90992.5</v>
      </c>
      <c r="AB91" s="97">
        <f t="shared" si="29"/>
        <v>48019</v>
      </c>
    </row>
    <row r="92" spans="1:158">
      <c r="X92" s="97"/>
    </row>
    <row r="93" spans="1:158">
      <c r="FB93" s="32" t="s">
        <v>863</v>
      </c>
    </row>
    <row r="94" spans="1:158">
      <c r="FA94" s="279"/>
      <c r="FB94" s="279" t="s">
        <v>601</v>
      </c>
    </row>
    <row r="95" spans="1:158">
      <c r="L95" s="403"/>
      <c r="M95" s="32" t="s">
        <v>851</v>
      </c>
      <c r="FA95" s="279" t="s">
        <v>602</v>
      </c>
      <c r="FB95" s="293">
        <v>1</v>
      </c>
    </row>
    <row r="99" spans="1:174" s="227" customFormat="1" ht="19.5">
      <c r="A99" s="329">
        <v>2025</v>
      </c>
      <c r="B99" s="282"/>
      <c r="C99" s="283"/>
      <c r="D99" s="284"/>
      <c r="E99" s="284"/>
      <c r="F99" s="284"/>
      <c r="G99" s="284"/>
      <c r="H99" s="284"/>
      <c r="I99" s="284"/>
      <c r="K99" s="282"/>
      <c r="L99" s="282"/>
      <c r="M99" s="283"/>
      <c r="N99" s="284"/>
      <c r="O99" s="284"/>
      <c r="P99" s="284"/>
      <c r="Q99" s="284"/>
      <c r="R99" s="284"/>
      <c r="S99" s="284"/>
    </row>
    <row r="100" spans="1:174" ht="23.5" thickBot="1">
      <c r="A100" s="32" t="s">
        <v>468</v>
      </c>
      <c r="C100" t="s">
        <v>463</v>
      </c>
      <c r="D100" t="s">
        <v>467</v>
      </c>
      <c r="E100" t="s">
        <v>470</v>
      </c>
      <c r="F100" t="s">
        <v>465</v>
      </c>
      <c r="G100" t="s">
        <v>466</v>
      </c>
      <c r="H100" t="s">
        <v>21</v>
      </c>
      <c r="K100" s="32" t="s">
        <v>471</v>
      </c>
      <c r="CV100" s="32" t="s">
        <v>492</v>
      </c>
      <c r="CY100" t="s">
        <v>478</v>
      </c>
      <c r="CZ100" t="s">
        <v>479</v>
      </c>
      <c r="ET100" s="353" t="s">
        <v>861</v>
      </c>
      <c r="FD100" s="353" t="s">
        <v>745</v>
      </c>
      <c r="FL100" s="353"/>
    </row>
    <row r="101" spans="1:174">
      <c r="A101" t="s">
        <v>462</v>
      </c>
      <c r="C101" t="s">
        <v>427</v>
      </c>
      <c r="D101" t="s">
        <v>428</v>
      </c>
      <c r="E101" t="s">
        <v>429</v>
      </c>
      <c r="F101" t="s">
        <v>430</v>
      </c>
      <c r="G101" t="s">
        <v>431</v>
      </c>
      <c r="H101" t="s">
        <v>457</v>
      </c>
      <c r="K101" s="159" t="s">
        <v>482</v>
      </c>
      <c r="L101" s="159"/>
      <c r="M101" s="443" t="s">
        <v>463</v>
      </c>
      <c r="N101" s="444"/>
      <c r="O101" s="444"/>
      <c r="P101" s="444"/>
      <c r="Q101" s="444"/>
      <c r="R101" s="444"/>
      <c r="S101" s="444"/>
      <c r="T101" s="444"/>
      <c r="U101" s="444"/>
      <c r="V101" s="444"/>
      <c r="W101" s="444"/>
      <c r="X101" s="444"/>
      <c r="Y101" s="444"/>
      <c r="Z101" s="445"/>
      <c r="AA101" s="443" t="s">
        <v>467</v>
      </c>
      <c r="AB101" s="444"/>
      <c r="AC101" s="444"/>
      <c r="AD101" s="444"/>
      <c r="AE101" s="444"/>
      <c r="AF101" s="444"/>
      <c r="AG101" s="444"/>
      <c r="AH101" s="444"/>
      <c r="AI101" s="444"/>
      <c r="AJ101" s="444"/>
      <c r="AK101" s="444"/>
      <c r="AL101" s="444"/>
      <c r="AM101" s="444"/>
      <c r="AN101" s="445"/>
      <c r="AO101" s="443" t="s">
        <v>464</v>
      </c>
      <c r="AP101" s="444"/>
      <c r="AQ101" s="444"/>
      <c r="AR101" s="444"/>
      <c r="AS101" s="444"/>
      <c r="AT101" s="444"/>
      <c r="AU101" s="444"/>
      <c r="AV101" s="444"/>
      <c r="AW101" s="444"/>
      <c r="AX101" s="444"/>
      <c r="AY101" s="444"/>
      <c r="AZ101" s="444"/>
      <c r="BA101" s="444"/>
      <c r="BB101" s="445"/>
      <c r="BC101" s="443" t="s">
        <v>465</v>
      </c>
      <c r="BD101" s="444"/>
      <c r="BE101" s="444"/>
      <c r="BF101" s="444"/>
      <c r="BG101" s="444"/>
      <c r="BH101" s="444"/>
      <c r="BI101" s="444"/>
      <c r="BJ101" s="444"/>
      <c r="BK101" s="444"/>
      <c r="BL101" s="444"/>
      <c r="BM101" s="444"/>
      <c r="BN101" s="444"/>
      <c r="BO101" s="444"/>
      <c r="BP101" s="445"/>
      <c r="BQ101" s="443" t="s">
        <v>466</v>
      </c>
      <c r="BR101" s="444"/>
      <c r="BS101" s="444"/>
      <c r="BT101" s="444"/>
      <c r="BU101" s="444"/>
      <c r="BV101" s="444"/>
      <c r="BW101" s="444"/>
      <c r="BX101" s="444"/>
      <c r="BY101" s="444"/>
      <c r="BZ101" s="444"/>
      <c r="CA101" s="444"/>
      <c r="CB101" s="444"/>
      <c r="CC101" s="444"/>
      <c r="CD101" s="445"/>
      <c r="CE101" s="443" t="s">
        <v>21</v>
      </c>
      <c r="CF101" s="444"/>
      <c r="CG101" s="444"/>
      <c r="CH101" s="444"/>
      <c r="CI101" s="444"/>
      <c r="CJ101" s="444"/>
      <c r="CK101" s="444"/>
      <c r="CL101" s="444"/>
      <c r="CM101" s="444"/>
      <c r="CN101" s="444"/>
      <c r="CO101" s="444"/>
      <c r="CP101" s="444"/>
      <c r="CQ101" s="444"/>
      <c r="CR101" s="445"/>
      <c r="CV101" s="263" t="s">
        <v>482</v>
      </c>
      <c r="CW101" s="263"/>
      <c r="CX101" s="446" t="s">
        <v>554</v>
      </c>
      <c r="CY101" s="439"/>
      <c r="CZ101" s="439"/>
      <c r="DA101" s="440"/>
      <c r="DB101" s="438" t="s">
        <v>553</v>
      </c>
      <c r="DC101" s="439"/>
      <c r="DD101" s="439"/>
      <c r="DE101" s="440"/>
      <c r="DF101" s="438" t="s">
        <v>464</v>
      </c>
      <c r="DG101" s="439"/>
      <c r="DH101" s="439"/>
      <c r="DI101" s="440"/>
      <c r="DJ101" s="438" t="s">
        <v>465</v>
      </c>
      <c r="DK101" s="439"/>
      <c r="DL101" s="439"/>
      <c r="DM101" s="440"/>
      <c r="DN101" s="438" t="s">
        <v>466</v>
      </c>
      <c r="DO101" s="439"/>
      <c r="DP101" s="439"/>
      <c r="DQ101" s="440"/>
      <c r="DR101" s="438" t="s">
        <v>21</v>
      </c>
      <c r="DS101" s="439"/>
      <c r="DT101" s="439"/>
      <c r="DU101" s="441"/>
      <c r="DW101" s="278"/>
      <c r="DX101" s="278"/>
      <c r="DY101" s="442" t="s">
        <v>588</v>
      </c>
      <c r="DZ101" s="442"/>
      <c r="EB101" s="278"/>
      <c r="EC101" s="278"/>
      <c r="ED101" s="442" t="s">
        <v>588</v>
      </c>
      <c r="EE101" s="442"/>
      <c r="EI101" t="s">
        <v>599</v>
      </c>
    </row>
    <row r="102" spans="1:174">
      <c r="A102" s="199"/>
      <c r="B102" s="199"/>
      <c r="C102" s="202" t="s">
        <v>463</v>
      </c>
      <c r="D102" s="202" t="s">
        <v>467</v>
      </c>
      <c r="E102" s="202" t="s">
        <v>464</v>
      </c>
      <c r="F102" s="202" t="s">
        <v>465</v>
      </c>
      <c r="G102" s="202" t="s">
        <v>678</v>
      </c>
      <c r="H102" s="202" t="s">
        <v>21</v>
      </c>
      <c r="K102" s="159"/>
      <c r="L102" s="159"/>
      <c r="M102" s="211" t="s">
        <v>472</v>
      </c>
      <c r="N102" s="160" t="s">
        <v>156</v>
      </c>
      <c r="O102" s="160" t="s">
        <v>475</v>
      </c>
      <c r="P102" s="160" t="s">
        <v>476</v>
      </c>
      <c r="Q102" s="160" t="s">
        <v>477</v>
      </c>
      <c r="R102" s="160" t="s">
        <v>478</v>
      </c>
      <c r="S102" s="160" t="s">
        <v>479</v>
      </c>
      <c r="T102" s="160" t="s">
        <v>480</v>
      </c>
      <c r="U102" s="160" t="s">
        <v>449</v>
      </c>
      <c r="V102" s="160" t="s">
        <v>157</v>
      </c>
      <c r="W102" s="160" t="s">
        <v>473</v>
      </c>
      <c r="X102" s="160" t="s">
        <v>474</v>
      </c>
      <c r="Y102" s="160" t="s">
        <v>46</v>
      </c>
      <c r="Z102" s="212" t="s">
        <v>11</v>
      </c>
      <c r="AA102" s="211" t="s">
        <v>472</v>
      </c>
      <c r="AB102" s="160" t="s">
        <v>156</v>
      </c>
      <c r="AC102" s="160" t="s">
        <v>475</v>
      </c>
      <c r="AD102" s="160" t="s">
        <v>476</v>
      </c>
      <c r="AE102" s="160" t="s">
        <v>477</v>
      </c>
      <c r="AF102" s="160" t="s">
        <v>478</v>
      </c>
      <c r="AG102" s="160" t="s">
        <v>479</v>
      </c>
      <c r="AH102" s="160" t="s">
        <v>480</v>
      </c>
      <c r="AI102" s="160" t="s">
        <v>449</v>
      </c>
      <c r="AJ102" s="160" t="s">
        <v>157</v>
      </c>
      <c r="AK102" s="160" t="s">
        <v>473</v>
      </c>
      <c r="AL102" s="160" t="s">
        <v>474</v>
      </c>
      <c r="AM102" s="160" t="s">
        <v>46</v>
      </c>
      <c r="AN102" s="212" t="s">
        <v>11</v>
      </c>
      <c r="AO102" s="211" t="s">
        <v>472</v>
      </c>
      <c r="AP102" s="160" t="s">
        <v>156</v>
      </c>
      <c r="AQ102" s="160" t="s">
        <v>475</v>
      </c>
      <c r="AR102" s="160" t="s">
        <v>476</v>
      </c>
      <c r="AS102" s="160" t="s">
        <v>477</v>
      </c>
      <c r="AT102" s="160" t="s">
        <v>478</v>
      </c>
      <c r="AU102" s="160" t="s">
        <v>479</v>
      </c>
      <c r="AV102" s="160" t="s">
        <v>480</v>
      </c>
      <c r="AW102" s="160" t="s">
        <v>449</v>
      </c>
      <c r="AX102" s="160" t="s">
        <v>157</v>
      </c>
      <c r="AY102" s="160" t="s">
        <v>473</v>
      </c>
      <c r="AZ102" s="160" t="s">
        <v>474</v>
      </c>
      <c r="BA102" s="160" t="s">
        <v>46</v>
      </c>
      <c r="BB102" s="212" t="s">
        <v>11</v>
      </c>
      <c r="BC102" s="211" t="s">
        <v>472</v>
      </c>
      <c r="BD102" s="160" t="s">
        <v>156</v>
      </c>
      <c r="BE102" s="160" t="s">
        <v>475</v>
      </c>
      <c r="BF102" s="160" t="s">
        <v>476</v>
      </c>
      <c r="BG102" s="160" t="s">
        <v>477</v>
      </c>
      <c r="BH102" s="160" t="s">
        <v>478</v>
      </c>
      <c r="BI102" s="160" t="s">
        <v>479</v>
      </c>
      <c r="BJ102" s="160" t="s">
        <v>480</v>
      </c>
      <c r="BK102" s="160" t="s">
        <v>449</v>
      </c>
      <c r="BL102" s="160" t="s">
        <v>157</v>
      </c>
      <c r="BM102" s="160" t="s">
        <v>473</v>
      </c>
      <c r="BN102" s="160" t="s">
        <v>474</v>
      </c>
      <c r="BO102" s="160" t="s">
        <v>46</v>
      </c>
      <c r="BP102" s="212" t="s">
        <v>11</v>
      </c>
      <c r="BQ102" s="211" t="s">
        <v>472</v>
      </c>
      <c r="BR102" s="160" t="s">
        <v>156</v>
      </c>
      <c r="BS102" s="160" t="s">
        <v>475</v>
      </c>
      <c r="BT102" s="160" t="s">
        <v>476</v>
      </c>
      <c r="BU102" s="160" t="s">
        <v>477</v>
      </c>
      <c r="BV102" s="160" t="s">
        <v>478</v>
      </c>
      <c r="BW102" s="160" t="s">
        <v>479</v>
      </c>
      <c r="BX102" s="160" t="s">
        <v>480</v>
      </c>
      <c r="BY102" s="160" t="s">
        <v>449</v>
      </c>
      <c r="BZ102" s="160" t="s">
        <v>157</v>
      </c>
      <c r="CA102" s="160" t="s">
        <v>473</v>
      </c>
      <c r="CB102" s="160" t="s">
        <v>474</v>
      </c>
      <c r="CC102" s="160" t="s">
        <v>46</v>
      </c>
      <c r="CD102" s="212" t="s">
        <v>11</v>
      </c>
      <c r="CE102" s="211" t="s">
        <v>472</v>
      </c>
      <c r="CF102" s="160" t="s">
        <v>156</v>
      </c>
      <c r="CG102" s="160" t="s">
        <v>475</v>
      </c>
      <c r="CH102" s="160" t="s">
        <v>476</v>
      </c>
      <c r="CI102" s="160" t="s">
        <v>477</v>
      </c>
      <c r="CJ102" s="160" t="s">
        <v>478</v>
      </c>
      <c r="CK102" s="160" t="s">
        <v>479</v>
      </c>
      <c r="CL102" s="160" t="s">
        <v>480</v>
      </c>
      <c r="CM102" s="160" t="s">
        <v>449</v>
      </c>
      <c r="CN102" s="160" t="s">
        <v>157</v>
      </c>
      <c r="CO102" s="160" t="s">
        <v>473</v>
      </c>
      <c r="CP102" s="160" t="s">
        <v>474</v>
      </c>
      <c r="CQ102" s="160" t="s">
        <v>46</v>
      </c>
      <c r="CR102" s="212" t="s">
        <v>11</v>
      </c>
      <c r="CV102" s="263"/>
      <c r="CW102" s="263"/>
      <c r="CX102" s="264" t="s">
        <v>156</v>
      </c>
      <c r="CY102" s="264" t="s">
        <v>478</v>
      </c>
      <c r="CZ102" s="264" t="s">
        <v>479</v>
      </c>
      <c r="DA102" s="264" t="s">
        <v>157</v>
      </c>
      <c r="DB102" s="264" t="s">
        <v>156</v>
      </c>
      <c r="DC102" s="264" t="s">
        <v>478</v>
      </c>
      <c r="DD102" s="264" t="s">
        <v>479</v>
      </c>
      <c r="DE102" s="264" t="s">
        <v>157</v>
      </c>
      <c r="DF102" s="264" t="s">
        <v>156</v>
      </c>
      <c r="DG102" s="264" t="s">
        <v>478</v>
      </c>
      <c r="DH102" s="264" t="s">
        <v>479</v>
      </c>
      <c r="DI102" s="264" t="s">
        <v>157</v>
      </c>
      <c r="DJ102" s="264" t="s">
        <v>156</v>
      </c>
      <c r="DK102" s="264" t="s">
        <v>478</v>
      </c>
      <c r="DL102" s="264" t="s">
        <v>479</v>
      </c>
      <c r="DM102" s="264" t="s">
        <v>157</v>
      </c>
      <c r="DN102" s="264" t="s">
        <v>156</v>
      </c>
      <c r="DO102" s="264" t="s">
        <v>478</v>
      </c>
      <c r="DP102" s="264" t="s">
        <v>479</v>
      </c>
      <c r="DQ102" s="264" t="s">
        <v>157</v>
      </c>
      <c r="DR102" s="264" t="s">
        <v>156</v>
      </c>
      <c r="DS102" s="264" t="s">
        <v>478</v>
      </c>
      <c r="DT102" s="264" t="s">
        <v>479</v>
      </c>
      <c r="DU102" s="264" t="s">
        <v>157</v>
      </c>
      <c r="DW102" s="278"/>
      <c r="DX102" s="278"/>
      <c r="DY102" s="280" t="s">
        <v>585</v>
      </c>
      <c r="DZ102" s="280" t="s">
        <v>259</v>
      </c>
      <c r="EB102" s="278"/>
      <c r="EC102" s="278"/>
      <c r="ED102" s="280" t="s">
        <v>585</v>
      </c>
      <c r="EE102" s="280" t="s">
        <v>259</v>
      </c>
      <c r="EL102" s="306" t="s">
        <v>564</v>
      </c>
      <c r="EM102" s="306" t="s">
        <v>565</v>
      </c>
      <c r="EN102" s="306" t="s">
        <v>566</v>
      </c>
      <c r="EO102" s="306" t="s">
        <v>562</v>
      </c>
      <c r="EP102" s="307" t="s">
        <v>597</v>
      </c>
      <c r="EQ102" s="307" t="s">
        <v>585</v>
      </c>
      <c r="ER102" s="307" t="s">
        <v>259</v>
      </c>
      <c r="ET102" s="420" t="s">
        <v>564</v>
      </c>
      <c r="EU102" s="420" t="s">
        <v>565</v>
      </c>
      <c r="EV102" s="420" t="s">
        <v>566</v>
      </c>
      <c r="EW102" s="420" t="s">
        <v>562</v>
      </c>
      <c r="EX102" s="421" t="s">
        <v>597</v>
      </c>
      <c r="EY102" s="421" t="s">
        <v>585</v>
      </c>
      <c r="EZ102" s="421" t="s">
        <v>259</v>
      </c>
      <c r="FA102" s="424" t="s">
        <v>865</v>
      </c>
      <c r="FD102" s="306" t="s">
        <v>564</v>
      </c>
      <c r="FE102" s="306" t="s">
        <v>565</v>
      </c>
      <c r="FF102" s="306" t="s">
        <v>566</v>
      </c>
      <c r="FG102" s="306" t="s">
        <v>562</v>
      </c>
      <c r="FH102" s="307" t="s">
        <v>597</v>
      </c>
      <c r="FI102" s="307" t="s">
        <v>585</v>
      </c>
      <c r="FJ102" s="307" t="s">
        <v>259</v>
      </c>
      <c r="FL102" s="101"/>
      <c r="FM102" s="101"/>
      <c r="FN102" s="101"/>
      <c r="FO102" s="101"/>
      <c r="FP102" s="374"/>
      <c r="FQ102" s="374"/>
      <c r="FR102" s="374"/>
    </row>
    <row r="103" spans="1:174">
      <c r="A103" s="205"/>
      <c r="B103" s="205" t="s">
        <v>12</v>
      </c>
      <c r="C103" s="400">
        <f>$AB61*KTDB_TripDistribution_2040!L$12 * (1+KTDB_발생량도착량_증가율!$C$8*2) * (1+KTDB_발생량도착량_증가율!$D$7*5) * (1+KTDB_발생량도착량_증가율!$E$7*5) * (1+KTDB_발생량도착량_증가율!$F$7*5)</f>
        <v>59.298211903114257</v>
      </c>
      <c r="D103" s="400">
        <f>$AB61*KTDB_TripDistribution_2040!M$12 * (1+KTDB_발생량도착량_증가율!$C$8*2) * (1+KTDB_발생량도착량_증가율!$D$7*5) * (1+KTDB_발생량도착량_증가율!$E$7*5) * (1+KTDB_발생량도착량_증가율!$F$7*5)</f>
        <v>461.11080341859213</v>
      </c>
      <c r="E103" s="400">
        <f>$AB61*KTDB_TripDistribution_2040!N$12 * (1+KTDB_발생량도착량_증가율!$C$8*2) * (1+KTDB_발생량도착량_증가율!$D$7*5) * (1+KTDB_발생량도착량_증가율!$E$7*5) * (1+KTDB_발생량도착량_증가율!$F$7*5)</f>
        <v>20.438899179878494</v>
      </c>
      <c r="F103" s="400">
        <f>$AB61*KTDB_TripDistribution_2040!O$12 * (1+KTDB_발생량도착량_증가율!$C$8*2) * (1+KTDB_발생량도착량_증가율!$D$7*5) * (1+KTDB_발생량도착량_증가율!$E$7*5) * (1+KTDB_발생량도착량_증가율!$F$7*5)</f>
        <v>5.5427523199670217E-2</v>
      </c>
      <c r="G103" s="400">
        <f>$AB61*KTDB_TripDistribution_2040!P$12 * (1+KTDB_발생량도착량_증가율!$C$8*2) * (1+KTDB_발생량도착량_증가율!$D$7*5) * (1+KTDB_발생량도착량_증가율!$E$7*5) * (1+KTDB_발생량도착량_증가율!$F$7*5)</f>
        <v>0.15704464906573351</v>
      </c>
      <c r="H103" s="400">
        <f>$AB61*KTDB_TripDistribution_2040!Q$12 * (1+KTDB_발생량도착량_증가율!$C$8*2) * (1+KTDB_발생량도착량_증가율!$D$7*5) * (1+KTDB_발생량도착량_증가율!$E$7*5) * (1+KTDB_발생량도착량_증가율!$F$7*5)</f>
        <v>541.0603866738503</v>
      </c>
      <c r="J103" s="230">
        <f t="shared" ref="J103:J107" si="46">CR103</f>
        <v>541.0603866738503</v>
      </c>
      <c r="K103" s="206"/>
      <c r="L103" s="206" t="s">
        <v>12</v>
      </c>
      <c r="M103" s="206">
        <f>INDEX($A$102:$H$115,MATCH($L103,$B$102:$B$115,0),MATCH($M$101,$A$102:$H$102,0))*고양시_Modal_split!C$3 * 0.01</f>
        <v>0.1660349933287199</v>
      </c>
      <c r="N103" s="206">
        <f>INDEX($A$102:$H$115,MATCH($L103,$B$102:$B$115,0),MATCH($M$101,$A$102:$H$102,0))*고양시_Modal_split!D$3 * 0.01</f>
        <v>27.887949058034639</v>
      </c>
      <c r="O103" s="206">
        <f>INDEX($A$102:$H$115,MATCH($L103,$B$102:$B$115,0),MATCH($M$101,$A$102:$H$102,0))*고양시_Modal_split!E$3 * 0.01</f>
        <v>3.3740682572872012</v>
      </c>
      <c r="P103" s="206">
        <f>INDEX($A$102:$H$115,MATCH($L103,$B$102:$B$115,0),MATCH($M$101,$A$102:$H$102,0))*고양시_Modal_split!F$3 * 0.01</f>
        <v>5.4376460315155768</v>
      </c>
      <c r="Q103" s="206">
        <f>INDEX($A$102:$H$115,MATCH($L103,$B$102:$B$115,0),MATCH($M$101,$A$102:$H$102,0))*고양시_Modal_split!G$3 * 0.01</f>
        <v>0.54554354950865114</v>
      </c>
      <c r="R103" s="206">
        <f>INDEX($A$102:$H$115,MATCH($L103,$B$102:$B$115,0),MATCH($M$101,$A$102:$H$102,0))*고양시_Modal_split!H$3 * 0.01</f>
        <v>5.9298211903114264E-3</v>
      </c>
      <c r="S103" s="206">
        <f>INDEX($A$102:$H$115,MATCH($L103,$B$102:$B$115,0),MATCH($M$101,$A$102:$H$102,0))*고양시_Modal_split!I$3 * 0.01</f>
        <v>1.6484902909065764</v>
      </c>
      <c r="T103" s="206">
        <f>INDEX($A$102:$H$115,MATCH($L103,$B$102:$B$115,0),MATCH($M$101,$A$102:$H$102,0))*고양시_Modal_split!J$3 * 0.01</f>
        <v>18.050375703307981</v>
      </c>
      <c r="U103" s="206">
        <f>INDEX($A$102:$H$115,MATCH($L103,$B$102:$B$115,0),MATCH($M$101,$A$102:$H$102,0))*고양시_Modal_split!K$3 * 0.01</f>
        <v>8.8947317854671387E-2</v>
      </c>
      <c r="V103" s="206">
        <f>INDEX($A$102:$H$115,MATCH($L103,$B$102:$B$115,0),MATCH($M$101,$A$102:$H$102,0))*고양시_Modal_split!L$3 * 0.01</f>
        <v>1.7908059994740506</v>
      </c>
      <c r="W103" s="206">
        <f>INDEX($A$102:$H$115,MATCH($L103,$B$102:$B$115,0),MATCH($M$101,$A$102:$H$102,0))*고양시_Modal_split!M$3 * 0.01</f>
        <v>0.13638588737716278</v>
      </c>
      <c r="X103" s="206">
        <f>INDEX($A$102:$H$115,MATCH($L103,$B$102:$B$115,0),MATCH($M$101,$A$102:$H$102,0))*고양시_Modal_split!N$3 * 0.01</f>
        <v>5.929821190311426E-2</v>
      </c>
      <c r="Y103" s="206">
        <f>INDEX($A$102:$H$115,MATCH($L103,$B$102:$B$115,0),MATCH($M$101,$A$102:$H$102,0))*고양시_Modal_split!O$3 * 0.01</f>
        <v>0.10673678142560566</v>
      </c>
      <c r="Z103" s="209">
        <f>INDEX($A$102:$H$115,MATCH($L103,$B$102:$B$115,0),MATCH($M$101,$A$102:$H$102,0))*고양시_Modal_split!P$3 * 0.01</f>
        <v>59.298211903114264</v>
      </c>
      <c r="AA103" s="207">
        <f>INDEX($A$102:$H$115,MATCH($L103,$B$102:$B$115,0),MATCH($AA$101,$A$102:$H$102,0))*고양시_Modal_split!C$3 * 0.01</f>
        <v>1.2911102495720579</v>
      </c>
      <c r="AB103" s="207">
        <f>INDEX($A$102:$H$115,MATCH($L103,$B$102:$B$115,0),MATCH($AA$101,$A$102:$H$102,0))*고양시_Modal_split!D$3 * 0.01</f>
        <v>216.86041084776389</v>
      </c>
      <c r="AC103" s="207">
        <f>INDEX($A$102:$H$115,MATCH($L103,$B$102:$B$115,0),MATCH($AA$101,$A$102:$H$102,0))*고양시_Modal_split!E$3 * 0.01</f>
        <v>26.23720471451789</v>
      </c>
      <c r="AD103" s="207">
        <f>INDEX($A$102:$H$115,MATCH($L103,$B$102:$B$115,0),MATCH($AA$101,$A$102:$H$102,0))*고양시_Modal_split!F$3 * 0.01</f>
        <v>42.283860673484895</v>
      </c>
      <c r="AE103" s="207">
        <f>INDEX($A$102:$H$115,MATCH($L103,$B$102:$B$115,0),MATCH($AA$101,$A$102:$H$102,0))*고양시_Modal_split!G$3 * 0.01</f>
        <v>4.2422193914510471</v>
      </c>
      <c r="AF103" s="207">
        <f>INDEX($A$102:$H$115,MATCH($L103,$B$102:$B$115,0),MATCH($AA$101,$A$102:$H$102,0))*고양시_Modal_split!H$3 * 0.01</f>
        <v>4.6111080341859213E-2</v>
      </c>
      <c r="AG103" s="207">
        <f>INDEX($A$102:$H$115,MATCH($L103,$B$102:$B$115,0),MATCH($AA$101,$A$102:$H$102,0))*고양시_Modal_split!I$3 * 0.01</f>
        <v>12.818880335036861</v>
      </c>
      <c r="AH103" s="207">
        <f>INDEX($A$102:$H$115,MATCH($L103,$B$102:$B$115,0),MATCH($AA$101,$A$102:$H$102,0))*고양시_Modal_split!J$3 * 0.01</f>
        <v>140.36212856061945</v>
      </c>
      <c r="AI103" s="207">
        <f>INDEX($A$102:$H$115,MATCH($L103,$B$102:$B$115,0),MATCH($AA$101,$A$102:$H$102,0))*고양시_Modal_split!K$3 * 0.01</f>
        <v>0.69166620512788812</v>
      </c>
      <c r="AJ103" s="207">
        <f>INDEX($A$102:$H$115,MATCH($L103,$B$102:$B$115,0),MATCH($AA$101,$A$102:$H$102,0))*고양시_Modal_split!L$3 * 0.01</f>
        <v>13.925546263241484</v>
      </c>
      <c r="AK103" s="207">
        <f>INDEX($A$102:$H$115,MATCH($L103,$B$102:$B$115,0),MATCH($AA$101,$A$102:$H$102,0))*고양시_Modal_split!M$3 * 0.01</f>
        <v>1.0605548478627618</v>
      </c>
      <c r="AL103" s="207">
        <f>INDEX($A$102:$H$115,MATCH($L103,$B$102:$B$115,0),MATCH($AA$101,$A$102:$H$102,0))*고양시_Modal_split!N$3 * 0.01</f>
        <v>0.46111080341859217</v>
      </c>
      <c r="AM103" s="207">
        <f>INDEX($A$102:$H$115,MATCH($L103,$B$102:$B$115,0),MATCH($AA$101,$A$102:$H$102,0))*고양시_Modal_split!O$3 * 0.01</f>
        <v>0.82999944615346577</v>
      </c>
      <c r="AN103" s="207">
        <f>INDEX($A$102:$H$115,MATCH($L103,$B$102:$B$115,0),MATCH($AA$101,$A$102:$H$102,0))*고양시_Modal_split!P$3 * 0.01</f>
        <v>461.11080341859213</v>
      </c>
      <c r="AO103" s="303">
        <f>INDEX($A$102:$H$115,MATCH($L103,$B$102:$B$115,0),MATCH($AO$101,$A$102:$H$102,0))*고양시_Modal_split!C$3 * 0.01</f>
        <v>5.722891770365978E-2</v>
      </c>
      <c r="AP103" s="303">
        <f>INDEX($A$102:$H$115,MATCH($L103,$B$102:$B$115,0),MATCH($AO$101,$A$102:$H$102,0))*고양시_Modal_split!D$3 * 0.01</f>
        <v>9.6124142842968556</v>
      </c>
      <c r="AQ103" s="303">
        <f>INDEX($A$102:$H$115,MATCH($L103,$B$102:$B$115,0),MATCH($AO$101,$A$102:$H$102,0))*고양시_Modal_split!E$3 * 0.01</f>
        <v>1.1629733633350863</v>
      </c>
      <c r="AR103" s="303">
        <f>INDEX($A$102:$H$115,MATCH($L103,$B$102:$B$115,0),MATCH($AO$101,$A$102:$H$102,0))*고양시_Modal_split!F$3 * 0.01</f>
        <v>1.874247054794858</v>
      </c>
      <c r="AS103" s="303">
        <f>INDEX($A$102:$H$115,MATCH($L103,$B$102:$B$115,0),MATCH($AO$101,$A$102:$H$102,0))*고양시_Modal_split!G$3 * 0.01</f>
        <v>0.18803787245488213</v>
      </c>
      <c r="AT103" s="303">
        <f>INDEX($A$102:$H$115,MATCH($L103,$B$102:$B$115,0),MATCH($AO$101,$A$102:$H$102,0))*고양시_Modal_split!H$3 * 0.01</f>
        <v>2.0438899179878495E-3</v>
      </c>
      <c r="AU103" s="303">
        <f>INDEX($A$102:$H$115,MATCH($L103,$B$102:$B$115,0),MATCH($AO$101,$A$102:$H$102,0))*고양시_Modal_split!I$3 * 0.01</f>
        <v>0.56820139720062213</v>
      </c>
      <c r="AV103" s="303">
        <f>INDEX($A$102:$H$115,MATCH($L103,$B$102:$B$115,0),MATCH($AO$101,$A$102:$H$102,0))*고양시_Modal_split!J$3 * 0.01</f>
        <v>6.2216009103550141</v>
      </c>
      <c r="AW103" s="303">
        <f>INDEX($A$102:$H$115,MATCH($L103,$B$102:$B$115,0),MATCH($AO$101,$A$102:$H$102,0))*고양시_Modal_split!K$3 * 0.01</f>
        <v>3.0658348769817743E-2</v>
      </c>
      <c r="AX103" s="303">
        <f>INDEX($A$102:$H$115,MATCH($L103,$B$102:$B$115,0),MATCH($AO$101,$A$102:$H$102,0))*고양시_Modal_split!L$3 * 0.01</f>
        <v>0.61725475523233053</v>
      </c>
      <c r="AY103" s="303">
        <f>INDEX($A$102:$H$115,MATCH($L103,$B$102:$B$115,0),MATCH($AO$101,$A$102:$H$102,0))*고양시_Modal_split!M$3 * 0.01</f>
        <v>4.7009468113720532E-2</v>
      </c>
      <c r="AZ103" s="303">
        <f>INDEX($A$102:$H$115,MATCH($L103,$B$102:$B$115,0),MATCH($AO$101,$A$102:$H$102,0))*고양시_Modal_split!N$3 * 0.01</f>
        <v>2.0438899179878494E-2</v>
      </c>
      <c r="BA103" s="207">
        <f>INDEX($A$102:$H$115,MATCH($L103,$B$102:$B$115,0),MATCH($AO$101,$A$102:$H$102,0))*고양시_Modal_split!O$3 * 0.01</f>
        <v>3.6790018523781283E-2</v>
      </c>
      <c r="BB103" s="207">
        <f>INDEX($A$102:$H$115,MATCH($L103,$B$102:$B$115,0),MATCH($AO$101,$A$102:$H$102,0))*고양시_Modal_split!P$3 * 0.01</f>
        <v>20.438899179878494</v>
      </c>
      <c r="BC103" s="207">
        <f>INDEX($A$102:$H$115,MATCH($L103,$B$102:$B$115,0),MATCH($BC$101,$A$102:$H$102,0))*고양시_Modal_split!C$3 * 0.01</f>
        <v>1.551970649590766E-4</v>
      </c>
      <c r="BD103" s="207">
        <f>INDEX($A$102:$H$115,MATCH($L103,$B$102:$B$115,0),MATCH($BC$101,$A$102:$H$102,0))*고양시_Modal_split!D$3 * 0.01</f>
        <v>2.6067564160804906E-2</v>
      </c>
      <c r="BE103" s="207">
        <f>INDEX($A$102:$H$115,MATCH($L103,$B$102:$B$115,0),MATCH($BC$101,$A$102:$H$102,0))*고양시_Modal_split!E$3 * 0.01</f>
        <v>3.1538260700612352E-3</v>
      </c>
      <c r="BF103" s="207">
        <f>INDEX($A$102:$H$115,MATCH($L103,$B$102:$B$115,0),MATCH($BC$101,$A$102:$H$102,0))*고양시_Modal_split!F$3 * 0.01</f>
        <v>5.0827038774097586E-3</v>
      </c>
      <c r="BG103" s="207">
        <f>INDEX($A$102:$H$115,MATCH($L103,$B$102:$B$115,0),MATCH($BC$101,$A$102:$H$102,0))*고양시_Modal_split!G$3 * 0.01</f>
        <v>5.0993321343696598E-4</v>
      </c>
      <c r="BH103" s="207">
        <f>INDEX($A$102:$H$115,MATCH($L103,$B$102:$B$115,0),MATCH($BC$101,$A$102:$H$102,0))*고양시_Modal_split!H$3 * 0.01</f>
        <v>5.5427523199670211E-6</v>
      </c>
      <c r="BI103" s="207">
        <f>INDEX($A$102:$H$115,MATCH($L103,$B$102:$B$115,0),MATCH($BC$101,$A$102:$H$102,0))*고양시_Modal_split!I$3 * 0.01</f>
        <v>1.540885144950832E-3</v>
      </c>
      <c r="BJ103" s="207">
        <f>INDEX($A$102:$H$115,MATCH($L103,$B$102:$B$115,0),MATCH($BC$101,$A$102:$H$102,0))*고양시_Modal_split!J$3 * 0.01</f>
        <v>1.6872138061979618E-2</v>
      </c>
      <c r="BK103" s="207">
        <f>INDEX($A$102:$H$115,MATCH($L103,$B$102:$B$115,0),MATCH($BC$101,$A$102:$H$102,0))*고양시_Modal_split!K$3 * 0.01</f>
        <v>8.3141284799505331E-5</v>
      </c>
      <c r="BL103" s="207">
        <f>INDEX($A$102:$H$115,MATCH($L103,$B$102:$B$115,0),MATCH($BC$101,$A$102:$H$102,0))*고양시_Modal_split!L$3 * 0.01</f>
        <v>1.6739112006300405E-3</v>
      </c>
      <c r="BM103" s="207">
        <f>INDEX($A$102:$H$115,MATCH($L103,$B$102:$B$115,0),MATCH($BC$101,$A$102:$H$102,0))*고양시_Modal_split!M$3 * 0.01</f>
        <v>1.2748330335924149E-4</v>
      </c>
      <c r="BN103" s="207">
        <f>INDEX($A$102:$H$115,MATCH($L103,$B$102:$B$115,0),MATCH($BC$101,$A$102:$H$102,0))*고양시_Modal_split!N$3 * 0.01</f>
        <v>5.5427523199670223E-5</v>
      </c>
      <c r="BO103" s="207">
        <f>INDEX($A$102:$H$115,MATCH($L103,$B$102:$B$115,0),MATCH($BC$101,$A$102:$H$102,0))*고양시_Modal_split!O$3 * 0.01</f>
        <v>9.9769541759406392E-5</v>
      </c>
      <c r="BP103" s="207">
        <f>INDEX($A$102:$H$115,MATCH($L103,$B$102:$B$115,0),MATCH($BC$101,$A$102:$H$102,0))*고양시_Modal_split!P$3 * 0.01</f>
        <v>5.5427523199670217E-2</v>
      </c>
      <c r="BQ103" s="207">
        <f>INDEX($A$102:$H$115,MATCH($L103,$B$102:$B$115,0),MATCH($BQ$101,$A$102:$H$102,0))*고양시_Modal_split!C$3 * 0.01</f>
        <v>4.3972501738405375E-4</v>
      </c>
      <c r="BR103" s="207">
        <f>INDEX($A$102:$H$115,MATCH($L103,$B$102:$B$115,0),MATCH($BQ$101,$A$102:$H$102,0))*고양시_Modal_split!D$3 * 0.01</f>
        <v>7.3858098455614474E-2</v>
      </c>
      <c r="BS103" s="207">
        <f>INDEX($A$102:$H$115,MATCH($L103,$B$102:$B$115,0),MATCH($BQ$101,$A$102:$H$102,0))*고양시_Modal_split!E$3 * 0.01</f>
        <v>8.9358405318402355E-3</v>
      </c>
      <c r="BT103" s="207">
        <f>INDEX($A$102:$H$115,MATCH($L103,$B$102:$B$115,0),MATCH($BQ$101,$A$102:$H$102,0))*고양시_Modal_split!F$3 * 0.01</f>
        <v>1.4400994319327762E-2</v>
      </c>
      <c r="BU103" s="207">
        <f>INDEX($A$102:$H$115,MATCH($L103,$B$102:$B$115,0),MATCH($BQ$101,$A$102:$H$102,0))*고양시_Modal_split!G$3 * 0.01</f>
        <v>1.4448107714047482E-3</v>
      </c>
      <c r="BV103" s="207">
        <f>INDEX($A$102:$H$115,MATCH($L103,$B$102:$B$115,0),MATCH($BQ$101,$A$102:$H$102,0))*고양시_Modal_split!H$3 * 0.01</f>
        <v>1.5704464906573353E-5</v>
      </c>
      <c r="BW103" s="207">
        <f>INDEX($A$102:$H$115,MATCH($L103,$B$102:$B$115,0),MATCH($BQ$101,$A$102:$H$102,0))*고양시_Modal_split!I$3 * 0.01</f>
        <v>4.3658412440273917E-3</v>
      </c>
      <c r="BX103" s="207">
        <f>INDEX($A$102:$H$115,MATCH($L103,$B$102:$B$115,0),MATCH($BQ$101,$A$102:$H$102,0))*고양시_Modal_split!J$3 * 0.01</f>
        <v>4.7804391175609286E-2</v>
      </c>
      <c r="BY103" s="207">
        <f>INDEX($A$102:$H$115,MATCH($L103,$B$102:$B$115,0),MATCH($BQ$101,$A$102:$H$102,0))*고양시_Modal_split!K$3 * 0.01</f>
        <v>2.3556697359860025E-4</v>
      </c>
      <c r="BZ103" s="207">
        <f>INDEX($A$102:$H$115,MATCH($L103,$B$102:$B$115,0),MATCH($BQ$101,$A$102:$H$102,0))*고양시_Modal_split!L$3 * 0.01</f>
        <v>4.7427484017851518E-3</v>
      </c>
      <c r="CA103" s="207">
        <f>INDEX($A$102:$H$115,MATCH($L103,$B$102:$B$115,0),MATCH($BQ$101,$A$102:$H$102,0))*고양시_Modal_split!M$3 * 0.01</f>
        <v>3.6120269285118704E-4</v>
      </c>
      <c r="CB103" s="207">
        <f>INDEX($A$102:$H$115,MATCH($L103,$B$102:$B$115,0),MATCH($BQ$101,$A$102:$H$102,0))*고양시_Modal_split!N$3 * 0.01</f>
        <v>1.5704464906573352E-4</v>
      </c>
      <c r="CC103" s="207">
        <f>INDEX($A$102:$H$115,MATCH($L103,$B$102:$B$115,0),MATCH($BQ$101,$A$102:$H$102,0))*고양시_Modal_split!O$3 * 0.01</f>
        <v>2.8268036831832028E-4</v>
      </c>
      <c r="CD103" s="207">
        <f>INDEX($A$102:$H$115,MATCH($L103,$B$102:$B$115,0),MATCH($BQ$101,$A$102:$H$102,0))*고양시_Modal_split!P$3 * 0.01</f>
        <v>0.15704464906573351</v>
      </c>
      <c r="CE103" s="304">
        <f>M103+AA103+AO103+BC103+BQ103</f>
        <v>1.5149690826867808</v>
      </c>
      <c r="CF103" s="304">
        <f t="shared" ref="CF103:CR115" si="47">N103+AB103+AP103+BD103+BR103</f>
        <v>254.4606998527118</v>
      </c>
      <c r="CG103" s="304">
        <f t="shared" si="47"/>
        <v>30.786336001742082</v>
      </c>
      <c r="CH103" s="304">
        <f t="shared" si="47"/>
        <v>49.615237457992073</v>
      </c>
      <c r="CI103" s="304">
        <f t="shared" si="47"/>
        <v>4.9777555573994228</v>
      </c>
      <c r="CJ103" s="304">
        <f t="shared" si="47"/>
        <v>5.4106038667385031E-2</v>
      </c>
      <c r="CK103" s="304">
        <f t="shared" si="47"/>
        <v>15.041478749533038</v>
      </c>
      <c r="CL103" s="304">
        <f t="shared" si="47"/>
        <v>164.69878170352007</v>
      </c>
      <c r="CM103" s="304">
        <f t="shared" si="47"/>
        <v>0.81159058001077533</v>
      </c>
      <c r="CN103" s="304">
        <f t="shared" si="47"/>
        <v>16.340023677550281</v>
      </c>
      <c r="CO103" s="304">
        <f t="shared" si="47"/>
        <v>1.2444388893498557</v>
      </c>
      <c r="CP103" s="304">
        <f t="shared" si="47"/>
        <v>0.54106038667385037</v>
      </c>
      <c r="CQ103" s="304">
        <f t="shared" si="47"/>
        <v>0.9739086960129304</v>
      </c>
      <c r="CR103" s="304">
        <f t="shared" si="47"/>
        <v>541.0603866738503</v>
      </c>
      <c r="CS103" s="305">
        <f>H103-CR103</f>
        <v>0</v>
      </c>
      <c r="CV103" s="265"/>
      <c r="CW103" s="265" t="s">
        <v>12</v>
      </c>
      <c r="CX103" s="267">
        <f>INDEX($M$101:$Z$115,MATCH($CW103,$L$101:$L$115,0),MATCH(CX$102,$M$102:$Z$102,0))/INDEX(고양시_재차인원!$D$4:$H$35,MATCH("고양시",고양시_재차인원!$B$4:$B$35,0),MATCH($CX$101,고양시_재차인원!$D$4:$H$4,0))</f>
        <v>24.899954516102355</v>
      </c>
      <c r="CY103" s="267">
        <f>INDEX($M$101:$Z$115,MATCH($CW103,$L$101:$L$115,0),MATCH(CY$102,$M$102:$Z$102,0))/INDEX(고양시_재차인원!$K$4:$O$20,MATCH("경기도",고양시_재차인원!$K$4:$K$20,0),MATCH(CY$102,고양시_재차인원!$K$4:$O$4,0))</f>
        <v>2.0596808580449554E-4</v>
      </c>
      <c r="CZ103" s="267">
        <f>INDEX($M$101:$Z$115,MATCH($CW103,$L$101:$L$115,0),MATCH(CZ$102,$M$102:$Z$102,0))/INDEX(고양시_재차인원!$K$4:$O$20,MATCH("경기도",고양시_재차인원!$K$4:$K$20,0),MATCH(CZ$102,고양시_재차인원!$K$4:$O$4,0))</f>
        <v>5.7259127853649755E-2</v>
      </c>
      <c r="DA103" s="267">
        <f>INDEX($M$101:$Z$115,MATCH($CW103,$L$101:$L$115,0),MATCH(DA$102,$M$102:$Z$102,0))/INDEX(고양시_재차인원!$D$4:$H$35,MATCH("고양시",고양시_재차인원!$B$4:$B$35,0),MATCH($CX$101,고양시_재차인원!$D$4:$H$4,0))</f>
        <v>1.5989339281018307</v>
      </c>
      <c r="DB103" s="267">
        <f>INDEX($AA$101:$AN$115,MATCH($CW103,$L$101:$L$115,0),MATCH(DB$102,$AA$102:$AN$102,0))/INDEX(고양시_재차인원!$D$4:$H$35,MATCH("고양시",고양시_재차인원!$B$4:$B$35,0),MATCH($DB$101,고양시_재차인원!$D$4:$H$4,0))</f>
        <v>153.80170982110914</v>
      </c>
      <c r="DC103" s="267">
        <f>INDEX($AA$101:$AN$115,MATCH($CW103,$L$101:$L$115,0),MATCH(DC$102,$AA$102:$AN$102,0))/INDEX(고양시_재차인원!$K$4:$O$20,MATCH("경기도",고양시_재차인원!$K$4:$K$20,0),MATCH(DC$102,고양시_재차인원!$K$4:$O$4,0))</f>
        <v>1.6016353019054955E-3</v>
      </c>
      <c r="DD103" s="267">
        <f>INDEX($AA$101:$AN$115,MATCH($CW103,$L$101:$L$115,0),MATCH(DD$102,$AA$102:$AN$102,0))/INDEX(고양시_재차인원!$K$4:$O$20,MATCH("경기도",고양시_재차인원!$K$4:$K$20,0),MATCH(DD$102,고양시_재차인원!$K$4:$O$4,0))</f>
        <v>0.44525461392972771</v>
      </c>
      <c r="DE103" s="267">
        <f>INDEX($AA$101:$AN$115,MATCH($CW103,$L$101:$L$115,0),MATCH(DE$102,$AA$102:$AN$102,0))/INDEX(고양시_재차인원!$D$4:$H$35,MATCH("고양시",고양시_재차인원!$B$4:$B$35,0),MATCH($DB$101,고양시_재차인원!$D$4:$H$4,0))</f>
        <v>9.8762739455613371</v>
      </c>
      <c r="DF103" s="267">
        <f>INDEX($AO$101:$BB$115,MATCH($CW103,$L$101:$L$115,0),MATCH(DF$102,$AO$102:$BB$102,0))/INDEX(고양시_재차인원!$D$4:$H$35,MATCH("고양시",고양시_재차인원!$B$4:$B$35,0),MATCH($DF$101,고양시_재차인원!$D$4:$H$4,0))</f>
        <v>7.3941648340745036</v>
      </c>
      <c r="DG103" s="267">
        <f>INDEX($AO$101:$BB$115,MATCH($CW103,$L$101:$L$115,0),MATCH(DG$102,$AO$102:$BB$102,0))/INDEX(고양시_재차인원!$K$4:$O$20,MATCH("경기도",고양시_재차인원!$K$4:$K$20,0),MATCH(DG$102,고양시_재차인원!$K$4:$O$4,0))</f>
        <v>7.0993050294819365E-5</v>
      </c>
      <c r="DH103" s="267">
        <f>INDEX($AO$101:$BB$115,MATCH($CW103,$L$101:$L$115,0),MATCH(DH$102,$AO$102:$BB$102,0))/INDEX(고양시_재차인원!$K$4:$O$20,MATCH("경기도",고양시_재차인원!$K$4:$K$20,0),MATCH(DH$102,고양시_재차인원!$K$4:$O$4,0))</f>
        <v>1.9736067981959784E-2</v>
      </c>
      <c r="DI103" s="267">
        <f>INDEX($AO$101:$BB$115,MATCH($CW103,$L$101:$L$115,0),MATCH(DI$102,$AO$102:$BB$102,0))/INDEX(고양시_재차인원!$D$4:$H$35,MATCH("고양시",고양시_재차인원!$B$4:$B$35,0),MATCH($DF$101,고양시_재차인원!$D$4:$H$4,0))</f>
        <v>0.47481135017871579</v>
      </c>
      <c r="DJ103" s="267">
        <f>INDEX($BC$101:$BP$115,MATCH($CW103,$L$101:$L$115,0),MATCH(DJ$102,$BC$102:$BP$102,0))/INDEX(고양시_재차인원!$D$4:$H$35,MATCH("고양시",고양시_재차인원!$B$4:$B$35,0),MATCH($DJ$101,고양시_재차인원!$D$4:$H$4,0))</f>
        <v>1.9167326588827135E-2</v>
      </c>
      <c r="DK103" s="267">
        <f>INDEX($BC$101:$BP$115,MATCH($CW103,$L$101:$L$115,0),MATCH(DK$102,$BC$102:$BP$102,0))/INDEX(고양시_재차인원!$K$4:$O$20,MATCH("경기도",고양시_재차인원!$K$4:$K$20,0),MATCH(DK$102,고양시_재차인원!$K$4:$O$4,0))</f>
        <v>1.9252352622323798E-7</v>
      </c>
      <c r="DL103" s="267">
        <f>INDEX($BC$101:$BP$115,MATCH($CW103,$L$101:$L$115,0),MATCH(DL$102,$BC$102:$BP$102,0))/INDEX(고양시_재차인원!$K$4:$O$20,MATCH("경기도",고양시_재차인원!$K$4:$K$20,0),MATCH(DL$102,고양시_재차인원!$K$4:$O$4,0))</f>
        <v>5.352154029006016E-5</v>
      </c>
      <c r="DM103" s="267">
        <f>INDEX($BC$101:$BP$115,MATCH($CW103,$L$101:$L$115,0),MATCH(DM$102,$BC$102:$BP$102,0))/INDEX(고양시_재차인원!$D$4:$H$35,MATCH("고양시",고양시_재차인원!$B$4:$B$35,0),MATCH($DJ$101,고양시_재차인원!$D$4:$H$4,0))</f>
        <v>1.2308170592867944E-3</v>
      </c>
      <c r="DN103" s="267">
        <f>INDEX($BQ$101:$CD$115,MATCH($CW103,$L$101:$L$115,0),MATCH(DN$102,$BQ$102:$CD$102,0))/INDEX(고양시_재차인원!$D$4:$H$35,MATCH("고양시",고양시_재차인원!$B$4:$B$35,0),MATCH($DN$101,고양시_재차인원!$D$4:$H$4,0))</f>
        <v>5.8617538456836885E-2</v>
      </c>
      <c r="DO103" s="267">
        <f>INDEX($BQ$101:$CD$115,MATCH($CW103,$L$101:$L$115,0),MATCH(DO$102,$BQ$102:$CD$102,0))/INDEX(고양시_재차인원!$K$4:$O$20,MATCH("경기도",고양시_재차인원!$K$4:$K$20,0),MATCH(DO$102,고양시_재차인원!$K$4:$O$4,0))</f>
        <v>5.4548332429917868E-7</v>
      </c>
      <c r="DP103" s="267">
        <f>INDEX($BQ$101:$CD$115,MATCH($CW103,$L$101:$L$115,0),MATCH(DP$102,$BQ$102:$CD$102,0))/INDEX(고양시_재차인원!$K$4:$O$20,MATCH("경기도",고양시_재차인원!$K$4:$K$20,0),MATCH(DP$102,고양시_재차인원!$K$4:$O$4,0))</f>
        <v>1.5164436415517166E-4</v>
      </c>
      <c r="DQ103" s="267">
        <f>INDEX($BQ$101:$CD$115,MATCH($CW103,$L$101:$L$115,0),MATCH(DQ$102,$BQ$102:$CD$102,0))/INDEX(고양시_재차인원!$D$4:$H$35,MATCH("고양시",고양시_재차인원!$B$4:$B$35,0),MATCH($DN$101,고양시_재차인원!$D$4:$H$4,0))</f>
        <v>3.7640860331628187E-3</v>
      </c>
      <c r="DR103" s="270">
        <f>CX103+DB103+DF103+DJ103+DN103</f>
        <v>186.17361403633166</v>
      </c>
      <c r="DS103" s="270">
        <f t="shared" ref="DS103:DU115" si="48">CY103+DC103+DG103+DK103+DO103</f>
        <v>1.879334444855333E-3</v>
      </c>
      <c r="DT103" s="270">
        <f t="shared" si="48"/>
        <v>0.5224549756697825</v>
      </c>
      <c r="DU103" s="270">
        <f t="shared" si="48"/>
        <v>11.955014126934334</v>
      </c>
      <c r="DW103" s="278"/>
      <c r="DX103" s="278" t="s">
        <v>12</v>
      </c>
      <c r="DY103" s="281">
        <f>DR103+DU103</f>
        <v>198.128628163266</v>
      </c>
      <c r="DZ103" s="281">
        <f>DS103+DT103</f>
        <v>0.52433431011463782</v>
      </c>
      <c r="EB103" s="278"/>
      <c r="EC103" s="278" t="s">
        <v>12</v>
      </c>
      <c r="ED103" s="281">
        <f>DY103</f>
        <v>198.128628163266</v>
      </c>
      <c r="EE103" s="281">
        <f t="shared" ref="EE103:EE115" si="49">DZ103</f>
        <v>0.52433431011463782</v>
      </c>
      <c r="EL103" s="306" t="s">
        <v>12</v>
      </c>
      <c r="EM103" s="306" t="s">
        <v>567</v>
      </c>
      <c r="EN103" s="306">
        <v>8014.2473</v>
      </c>
      <c r="EO103" s="306">
        <v>0.11966025175817722</v>
      </c>
      <c r="EP103" s="307">
        <v>849101</v>
      </c>
      <c r="EQ103" s="308">
        <f>VLOOKUP($EL103,$EC$102:$EE$114,2,FALSE)*$EO103</f>
        <v>23.708121526518692</v>
      </c>
      <c r="ER103" s="308">
        <f>VLOOKUP($EL103,$EC$102:$EE$114,3,FALSE)*$EO103</f>
        <v>6.2741975553767731E-2</v>
      </c>
      <c r="ET103" s="420" t="s">
        <v>12</v>
      </c>
      <c r="EU103" s="420" t="s">
        <v>567</v>
      </c>
      <c r="EV103" s="420">
        <v>8014.2473</v>
      </c>
      <c r="EW103" s="420">
        <v>0.11966025175817722</v>
      </c>
      <c r="EX103" s="421">
        <v>849101</v>
      </c>
      <c r="EY103" s="422">
        <f>EQ103*$AV$11*(1-$AZ$7)</f>
        <v>23.03244006301291</v>
      </c>
      <c r="EZ103" s="422">
        <f>ER103*AV$11*(1-$AZ$7)</f>
        <v>6.0953829250485356E-2</v>
      </c>
      <c r="FA103">
        <v>0</v>
      </c>
      <c r="FD103" s="306" t="s">
        <v>12</v>
      </c>
      <c r="FE103" s="306" t="s">
        <v>567</v>
      </c>
      <c r="FF103" s="306">
        <v>8014.2473</v>
      </c>
      <c r="FG103" s="306">
        <v>0.11966025175817722</v>
      </c>
      <c r="FH103" s="307">
        <v>849101</v>
      </c>
      <c r="FI103" s="308">
        <f>EY103*$FB$95</f>
        <v>23.03244006301291</v>
      </c>
      <c r="FJ103" s="308">
        <f t="shared" ref="FJ103:FJ136" si="50">EZ103*$FB$95</f>
        <v>6.0953829250485356E-2</v>
      </c>
      <c r="FL103" s="101"/>
      <c r="FM103" s="101"/>
      <c r="FN103" s="101"/>
      <c r="FO103" s="101"/>
      <c r="FP103" s="374"/>
      <c r="FQ103" s="404"/>
      <c r="FR103" s="404"/>
    </row>
    <row r="104" spans="1:174" ht="25">
      <c r="A104" s="205"/>
      <c r="B104" s="205" t="s">
        <v>667</v>
      </c>
      <c r="C104" s="400">
        <f>$AB62*KTDB_TripDistribution_2040!L$12 * (1+KTDB_발생량도착량_증가율!$C$8*2) * (1+KTDB_발생량도착량_증가율!$D$7*5) * (1+KTDB_발생량도착량_증가율!$E$7*5) * (1+KTDB_발생량도착량_증가율!$F$7*5)</f>
        <v>1291.3771006855511</v>
      </c>
      <c r="D104" s="400">
        <f>$AB62*KTDB_TripDistribution_2040!M$12 * (1+KTDB_발생량도착량_증가율!$C$8*2) * (1+KTDB_발생량도착량_증가율!$D$7*5) * (1+KTDB_발생량도착량_증가율!$E$7*5) * (1+KTDB_발생량도착량_증가율!$F$7*5)</f>
        <v>10041.920545368308</v>
      </c>
      <c r="E104" s="400">
        <f>$AB62*KTDB_TripDistribution_2040!N$12 * (1+KTDB_발생량도착량_증가율!$C$8*2) * (1+KTDB_발생량도착량_증가율!$D$7*5) * (1+KTDB_발생량도착량_증가율!$E$7*5) * (1+KTDB_발생량도착량_증가율!$F$7*5)</f>
        <v>445.11167397831076</v>
      </c>
      <c r="F104" s="400">
        <f>$AB62*KTDB_TripDistribution_2040!O$12 * (1+KTDB_발생량도착량_증가율!$C$8*2) * (1+KTDB_발생량도착량_증가율!$D$7*5) * (1+KTDB_발생량도착량_증가율!$E$7*5) * (1+KTDB_발생량도착량_증가율!$F$7*5)</f>
        <v>1.2070825057038876</v>
      </c>
      <c r="G104" s="400">
        <f>$AB62*KTDB_TripDistribution_2040!P$12 * (1+KTDB_발생량도착량_증가율!$C$8*2) * (1+KTDB_발생량도착량_증가율!$D$7*5) * (1+KTDB_발생량도착량_증가율!$E$7*5) * (1+KTDB_발생량도착량_증가율!$F$7*5)</f>
        <v>3.4200670994943745</v>
      </c>
      <c r="H104" s="400">
        <f>$AB62*KTDB_TripDistribution_2040!Q$12 * (1+KTDB_발생량도착량_증가율!$C$8*2) * (1+KTDB_발생량도착량_증가율!$D$7*5) * (1+KTDB_발생량도착량_증가율!$E$7*5) * (1+KTDB_발생량도착량_증가율!$F$7*5)</f>
        <v>11783.036469637367</v>
      </c>
      <c r="J104" s="230">
        <f t="shared" si="46"/>
        <v>11783.036469637367</v>
      </c>
      <c r="K104" s="206"/>
      <c r="L104" s="206" t="s">
        <v>667</v>
      </c>
      <c r="M104" s="206">
        <f>INDEX($A$102:$H$115,MATCH($L104,$B$102:$B$115,0),MATCH($M$101,$A$102:$H$102,0))*고양시_Modal_split!C$3 * 0.01</f>
        <v>3.615855881919543</v>
      </c>
      <c r="N104" s="206">
        <f>INDEX($A$102:$H$115,MATCH($L104,$B$102:$B$115,0),MATCH($M$101,$A$102:$H$102,0))*고양시_Modal_split!D$3 * 0.01</f>
        <v>607.33465045241473</v>
      </c>
      <c r="O104" s="206">
        <f>INDEX($A$102:$H$115,MATCH($L104,$B$102:$B$115,0),MATCH($M$101,$A$102:$H$102,0))*고양시_Modal_split!E$3 * 0.01</f>
        <v>73.479357029007858</v>
      </c>
      <c r="P104" s="206">
        <f>INDEX($A$102:$H$115,MATCH($L104,$B$102:$B$115,0),MATCH($M$101,$A$102:$H$102,0))*고양시_Modal_split!F$3 * 0.01</f>
        <v>118.41928013286504</v>
      </c>
      <c r="Q104" s="206">
        <f>INDEX($A$102:$H$115,MATCH($L104,$B$102:$B$115,0),MATCH($M$101,$A$102:$H$102,0))*고양시_Modal_split!G$3 * 0.01</f>
        <v>11.88066932630707</v>
      </c>
      <c r="R104" s="206">
        <f>INDEX($A$102:$H$115,MATCH($L104,$B$102:$B$115,0),MATCH($M$101,$A$102:$H$102,0))*고양시_Modal_split!H$3 * 0.01</f>
        <v>0.12913771006855512</v>
      </c>
      <c r="S104" s="206">
        <f>INDEX($A$102:$H$115,MATCH($L104,$B$102:$B$115,0),MATCH($M$101,$A$102:$H$102,0))*고양시_Modal_split!I$3 * 0.01</f>
        <v>35.900283399058317</v>
      </c>
      <c r="T104" s="206">
        <f>INDEX($A$102:$H$115,MATCH($L104,$B$102:$B$115,0),MATCH($M$101,$A$102:$H$102,0))*고양시_Modal_split!J$3 * 0.01</f>
        <v>393.09518944868177</v>
      </c>
      <c r="U104" s="206">
        <f>INDEX($A$102:$H$115,MATCH($L104,$B$102:$B$115,0),MATCH($M$101,$A$102:$H$102,0))*고양시_Modal_split!K$3 * 0.01</f>
        <v>1.9370656510283266</v>
      </c>
      <c r="V104" s="206">
        <f>INDEX($A$102:$H$115,MATCH($L104,$B$102:$B$115,0),MATCH($M$101,$A$102:$H$102,0))*고양시_Modal_split!L$3 * 0.01</f>
        <v>38.99958844070364</v>
      </c>
      <c r="W104" s="206">
        <f>INDEX($A$102:$H$115,MATCH($L104,$B$102:$B$115,0),MATCH($M$101,$A$102:$H$102,0))*고양시_Modal_split!M$3 * 0.01</f>
        <v>2.9701673315767674</v>
      </c>
      <c r="X104" s="206">
        <f>INDEX($A$102:$H$115,MATCH($L104,$B$102:$B$115,0),MATCH($M$101,$A$102:$H$102,0))*고양시_Modal_split!N$3 * 0.01</f>
        <v>1.2913771006855512</v>
      </c>
      <c r="Y104" s="206">
        <f>INDEX($A$102:$H$115,MATCH($L104,$B$102:$B$115,0),MATCH($M$101,$A$102:$H$102,0))*고양시_Modal_split!O$3 * 0.01</f>
        <v>2.3244787812339918</v>
      </c>
      <c r="Z104" s="209">
        <f>INDEX($A$102:$H$115,MATCH($L104,$B$102:$B$115,0),MATCH($M$101,$A$102:$H$102,0))*고양시_Modal_split!P$3 * 0.01</f>
        <v>1291.3771006855511</v>
      </c>
      <c r="AA104" s="207">
        <f>INDEX($A$102:$H$115,MATCH($L104,$B$102:$B$115,0),MATCH($AA$101,$A$102:$H$102,0))*고양시_Modal_split!C$3 * 0.01</f>
        <v>28.117377527031259</v>
      </c>
      <c r="AB104" s="207">
        <f>INDEX($A$102:$H$115,MATCH($L104,$B$102:$B$115,0),MATCH($AA$101,$A$102:$H$102,0))*고양시_Modal_split!D$3 * 0.01</f>
        <v>4722.7152324867156</v>
      </c>
      <c r="AC104" s="207">
        <f>INDEX($A$102:$H$115,MATCH($L104,$B$102:$B$115,0),MATCH($AA$101,$A$102:$H$102,0))*고양시_Modal_split!E$3 * 0.01</f>
        <v>571.38527903145666</v>
      </c>
      <c r="AD104" s="207">
        <f>INDEX($A$102:$H$115,MATCH($L104,$B$102:$B$115,0),MATCH($AA$101,$A$102:$H$102,0))*고양시_Modal_split!F$3 * 0.01</f>
        <v>920.84411401027376</v>
      </c>
      <c r="AE104" s="207">
        <f>INDEX($A$102:$H$115,MATCH($L104,$B$102:$B$115,0),MATCH($AA$101,$A$102:$H$102,0))*고양시_Modal_split!G$3 * 0.01</f>
        <v>92.385669017388423</v>
      </c>
      <c r="AF104" s="207">
        <f>INDEX($A$102:$H$115,MATCH($L104,$B$102:$B$115,0),MATCH($AA$101,$A$102:$H$102,0))*고양시_Modal_split!H$3 * 0.01</f>
        <v>1.0041920545368308</v>
      </c>
      <c r="AG104" s="207">
        <f>INDEX($A$102:$H$115,MATCH($L104,$B$102:$B$115,0),MATCH($AA$101,$A$102:$H$102,0))*고양시_Modal_split!I$3 * 0.01</f>
        <v>279.16539116123897</v>
      </c>
      <c r="AH104" s="207">
        <f>INDEX($A$102:$H$115,MATCH($L104,$B$102:$B$115,0),MATCH($AA$101,$A$102:$H$102,0))*고양시_Modal_split!J$3 * 0.01</f>
        <v>3056.7606140101129</v>
      </c>
      <c r="AI104" s="207">
        <f>INDEX($A$102:$H$115,MATCH($L104,$B$102:$B$115,0),MATCH($AA$101,$A$102:$H$102,0))*고양시_Modal_split!K$3 * 0.01</f>
        <v>15.062880818052461</v>
      </c>
      <c r="AJ104" s="207">
        <f>INDEX($A$102:$H$115,MATCH($L104,$B$102:$B$115,0),MATCH($AA$101,$A$102:$H$102,0))*고양시_Modal_split!L$3 * 0.01</f>
        <v>303.26600047012289</v>
      </c>
      <c r="AK104" s="207">
        <f>INDEX($A$102:$H$115,MATCH($L104,$B$102:$B$115,0),MATCH($AA$101,$A$102:$H$102,0))*고양시_Modal_split!M$3 * 0.01</f>
        <v>23.096417254347106</v>
      </c>
      <c r="AL104" s="207">
        <f>INDEX($A$102:$H$115,MATCH($L104,$B$102:$B$115,0),MATCH($AA$101,$A$102:$H$102,0))*고양시_Modal_split!N$3 * 0.01</f>
        <v>10.041920545368308</v>
      </c>
      <c r="AM104" s="207">
        <f>INDEX($A$102:$H$115,MATCH($L104,$B$102:$B$115,0),MATCH($AA$101,$A$102:$H$102,0))*고양시_Modal_split!O$3 * 0.01</f>
        <v>18.075456981662953</v>
      </c>
      <c r="AN104" s="207">
        <f>INDEX($A$102:$H$115,MATCH($L104,$B$102:$B$115,0),MATCH($AA$101,$A$102:$H$102,0))*고양시_Modal_split!P$3 * 0.01</f>
        <v>10041.920545368308</v>
      </c>
      <c r="AO104" s="303">
        <f>INDEX($A$102:$H$115,MATCH($L104,$B$102:$B$115,0),MATCH($AO$101,$A$102:$H$102,0))*고양시_Modal_split!C$3 * 0.01</f>
        <v>1.24631268713927</v>
      </c>
      <c r="AP104" s="303">
        <f>INDEX($A$102:$H$115,MATCH($L104,$B$102:$B$115,0),MATCH($AO$101,$A$102:$H$102,0))*고양시_Modal_split!D$3 * 0.01</f>
        <v>209.33602027199956</v>
      </c>
      <c r="AQ104" s="303">
        <f>INDEX($A$102:$H$115,MATCH($L104,$B$102:$B$115,0),MATCH($AO$101,$A$102:$H$102,0))*고양시_Modal_split!E$3 * 0.01</f>
        <v>25.32685424936588</v>
      </c>
      <c r="AR104" s="303">
        <f>INDEX($A$102:$H$115,MATCH($L104,$B$102:$B$115,0),MATCH($AO$101,$A$102:$H$102,0))*고양시_Modal_split!F$3 * 0.01</f>
        <v>40.816740503811097</v>
      </c>
      <c r="AS104" s="303">
        <f>INDEX($A$102:$H$115,MATCH($L104,$B$102:$B$115,0),MATCH($AO$101,$A$102:$H$102,0))*고양시_Modal_split!G$3 * 0.01</f>
        <v>4.0950274006004586</v>
      </c>
      <c r="AT104" s="303">
        <f>INDEX($A$102:$H$115,MATCH($L104,$B$102:$B$115,0),MATCH($AO$101,$A$102:$H$102,0))*고양시_Modal_split!H$3 * 0.01</f>
        <v>4.4511167397831078E-2</v>
      </c>
      <c r="AU104" s="303">
        <f>INDEX($A$102:$H$115,MATCH($L104,$B$102:$B$115,0),MATCH($AO$101,$A$102:$H$102,0))*고양시_Modal_split!I$3 * 0.01</f>
        <v>12.374104536597038</v>
      </c>
      <c r="AV104" s="303">
        <f>INDEX($A$102:$H$115,MATCH($L104,$B$102:$B$115,0),MATCH($AO$101,$A$102:$H$102,0))*고양시_Modal_split!J$3 * 0.01</f>
        <v>135.49199355899779</v>
      </c>
      <c r="AW104" s="303">
        <f>INDEX($A$102:$H$115,MATCH($L104,$B$102:$B$115,0),MATCH($AO$101,$A$102:$H$102,0))*고양시_Modal_split!K$3 * 0.01</f>
        <v>0.66766751096746624</v>
      </c>
      <c r="AX104" s="303">
        <f>INDEX($A$102:$H$115,MATCH($L104,$B$102:$B$115,0),MATCH($AO$101,$A$102:$H$102,0))*고양시_Modal_split!L$3 * 0.01</f>
        <v>13.442372554144987</v>
      </c>
      <c r="AY104" s="303">
        <f>INDEX($A$102:$H$115,MATCH($L104,$B$102:$B$115,0),MATCH($AO$101,$A$102:$H$102,0))*고양시_Modal_split!M$3 * 0.01</f>
        <v>1.0237568501501146</v>
      </c>
      <c r="AZ104" s="303">
        <f>INDEX($A$102:$H$115,MATCH($L104,$B$102:$B$115,0),MATCH($AO$101,$A$102:$H$102,0))*고양시_Modal_split!N$3 * 0.01</f>
        <v>0.44511167397831081</v>
      </c>
      <c r="BA104" s="207">
        <f>INDEX($A$102:$H$115,MATCH($L104,$B$102:$B$115,0),MATCH($AO$101,$A$102:$H$102,0))*고양시_Modal_split!O$3 * 0.01</f>
        <v>0.80120101316095937</v>
      </c>
      <c r="BB104" s="207">
        <f>INDEX($A$102:$H$115,MATCH($L104,$B$102:$B$115,0),MATCH($AO$101,$A$102:$H$102,0))*고양시_Modal_split!P$3 * 0.01</f>
        <v>445.11167397831082</v>
      </c>
      <c r="BC104" s="207">
        <f>INDEX($A$102:$H$115,MATCH($L104,$B$102:$B$115,0),MATCH($BC$101,$A$102:$H$102,0))*고양시_Modal_split!C$3 * 0.01</f>
        <v>3.379831015970885E-3</v>
      </c>
      <c r="BD104" s="207">
        <f>INDEX($A$102:$H$115,MATCH($L104,$B$102:$B$115,0),MATCH($BC$101,$A$102:$H$102,0))*고양시_Modal_split!D$3 * 0.01</f>
        <v>0.56769090243253839</v>
      </c>
      <c r="BE104" s="207">
        <f>INDEX($A$102:$H$115,MATCH($L104,$B$102:$B$115,0),MATCH($BC$101,$A$102:$H$102,0))*고양시_Modal_split!E$3 * 0.01</f>
        <v>6.8682994574551209E-2</v>
      </c>
      <c r="BF104" s="207">
        <f>INDEX($A$102:$H$115,MATCH($L104,$B$102:$B$115,0),MATCH($BC$101,$A$102:$H$102,0))*고양시_Modal_split!F$3 * 0.01</f>
        <v>0.11068946577304649</v>
      </c>
      <c r="BG104" s="207">
        <f>INDEX($A$102:$H$115,MATCH($L104,$B$102:$B$115,0),MATCH($BC$101,$A$102:$H$102,0))*고양시_Modal_split!G$3 * 0.01</f>
        <v>1.1105159052475767E-2</v>
      </c>
      <c r="BH104" s="207">
        <f>INDEX($A$102:$H$115,MATCH($L104,$B$102:$B$115,0),MATCH($BC$101,$A$102:$H$102,0))*고양시_Modal_split!H$3 * 0.01</f>
        <v>1.2070825057038878E-4</v>
      </c>
      <c r="BI104" s="207">
        <f>INDEX($A$102:$H$115,MATCH($L104,$B$102:$B$115,0),MATCH($BC$101,$A$102:$H$102,0))*고양시_Modal_split!I$3 * 0.01</f>
        <v>3.3556893658568072E-2</v>
      </c>
      <c r="BJ104" s="207">
        <f>INDEX($A$102:$H$115,MATCH($L104,$B$102:$B$115,0),MATCH($BC$101,$A$102:$H$102,0))*고양시_Modal_split!J$3 * 0.01</f>
        <v>0.36743591473626341</v>
      </c>
      <c r="BK104" s="207">
        <f>INDEX($A$102:$H$115,MATCH($L104,$B$102:$B$115,0),MATCH($BC$101,$A$102:$H$102,0))*고양시_Modal_split!K$3 * 0.01</f>
        <v>1.8106237585558313E-3</v>
      </c>
      <c r="BL104" s="207">
        <f>INDEX($A$102:$H$115,MATCH($L104,$B$102:$B$115,0),MATCH($BC$101,$A$102:$H$102,0))*고양시_Modal_split!L$3 * 0.01</f>
        <v>3.6453891672257405E-2</v>
      </c>
      <c r="BM104" s="207">
        <f>INDEX($A$102:$H$115,MATCH($L104,$B$102:$B$115,0),MATCH($BC$101,$A$102:$H$102,0))*고양시_Modal_split!M$3 * 0.01</f>
        <v>2.7762897631189417E-3</v>
      </c>
      <c r="BN104" s="207">
        <f>INDEX($A$102:$H$115,MATCH($L104,$B$102:$B$115,0),MATCH($BC$101,$A$102:$H$102,0))*고양시_Modal_split!N$3 * 0.01</f>
        <v>1.2070825057038878E-3</v>
      </c>
      <c r="BO104" s="207">
        <f>INDEX($A$102:$H$115,MATCH($L104,$B$102:$B$115,0),MATCH($BC$101,$A$102:$H$102,0))*고양시_Modal_split!O$3 * 0.01</f>
        <v>2.1727485102669979E-3</v>
      </c>
      <c r="BP104" s="207">
        <f>INDEX($A$102:$H$115,MATCH($L104,$B$102:$B$115,0),MATCH($BC$101,$A$102:$H$102,0))*고양시_Modal_split!P$3 * 0.01</f>
        <v>1.2070825057038876</v>
      </c>
      <c r="BQ104" s="207">
        <f>INDEX($A$102:$H$115,MATCH($L104,$B$102:$B$115,0),MATCH($BQ$101,$A$102:$H$102,0))*고양시_Modal_split!C$3 * 0.01</f>
        <v>9.5761878785842487E-3</v>
      </c>
      <c r="BR104" s="207">
        <f>INDEX($A$102:$H$115,MATCH($L104,$B$102:$B$115,0),MATCH($BQ$101,$A$102:$H$102,0))*고양시_Modal_split!D$3 * 0.01</f>
        <v>1.6084575568922044</v>
      </c>
      <c r="BS104" s="207">
        <f>INDEX($A$102:$H$115,MATCH($L104,$B$102:$B$115,0),MATCH($BQ$101,$A$102:$H$102,0))*고양시_Modal_split!E$3 * 0.01</f>
        <v>0.19460181796122988</v>
      </c>
      <c r="BT104" s="207">
        <f>INDEX($A$102:$H$115,MATCH($L104,$B$102:$B$115,0),MATCH($BQ$101,$A$102:$H$102,0))*고양시_Modal_split!F$3 * 0.01</f>
        <v>0.31362015302363416</v>
      </c>
      <c r="BU104" s="207">
        <f>INDEX($A$102:$H$115,MATCH($L104,$B$102:$B$115,0),MATCH($BQ$101,$A$102:$H$102,0))*고양시_Modal_split!G$3 * 0.01</f>
        <v>3.1464617315348241E-2</v>
      </c>
      <c r="BV104" s="207">
        <f>INDEX($A$102:$H$115,MATCH($L104,$B$102:$B$115,0),MATCH($BQ$101,$A$102:$H$102,0))*고양시_Modal_split!H$3 * 0.01</f>
        <v>3.4200670994943746E-4</v>
      </c>
      <c r="BW104" s="207">
        <f>INDEX($A$102:$H$115,MATCH($L104,$B$102:$B$115,0),MATCH($BQ$101,$A$102:$H$102,0))*고양시_Modal_split!I$3 * 0.01</f>
        <v>9.507786536594362E-2</v>
      </c>
      <c r="BX104" s="207">
        <f>INDEX($A$102:$H$115,MATCH($L104,$B$102:$B$115,0),MATCH($BQ$101,$A$102:$H$102,0))*고양시_Modal_split!J$3 * 0.01</f>
        <v>1.0410684250860878</v>
      </c>
      <c r="BY104" s="207">
        <f>INDEX($A$102:$H$115,MATCH($L104,$B$102:$B$115,0),MATCH($BQ$101,$A$102:$H$102,0))*고양시_Modal_split!K$3 * 0.01</f>
        <v>5.130100649241561E-3</v>
      </c>
      <c r="BZ104" s="207">
        <f>INDEX($A$102:$H$115,MATCH($L104,$B$102:$B$115,0),MATCH($BQ$101,$A$102:$H$102,0))*고양시_Modal_split!L$3 * 0.01</f>
        <v>0.10328602640473011</v>
      </c>
      <c r="CA104" s="207">
        <f>INDEX($A$102:$H$115,MATCH($L104,$B$102:$B$115,0),MATCH($BQ$101,$A$102:$H$102,0))*고양시_Modal_split!M$3 * 0.01</f>
        <v>7.8661543288370602E-3</v>
      </c>
      <c r="CB104" s="207">
        <f>INDEX($A$102:$H$115,MATCH($L104,$B$102:$B$115,0),MATCH($BQ$101,$A$102:$H$102,0))*고양시_Modal_split!N$3 * 0.01</f>
        <v>3.4200670994943751E-3</v>
      </c>
      <c r="CC104" s="207">
        <f>INDEX($A$102:$H$115,MATCH($L104,$B$102:$B$115,0),MATCH($BQ$101,$A$102:$H$102,0))*고양시_Modal_split!O$3 * 0.01</f>
        <v>6.1561207790898744E-3</v>
      </c>
      <c r="CD104" s="207">
        <f>INDEX($A$102:$H$115,MATCH($L104,$B$102:$B$115,0),MATCH($BQ$101,$A$102:$H$102,0))*고양시_Modal_split!P$3 * 0.01</f>
        <v>3.4200670994943745</v>
      </c>
      <c r="CE104" s="304">
        <f t="shared" ref="CE104:CE115" si="51">M104+AA104+AO104+BC104+BQ104</f>
        <v>32.992502114984632</v>
      </c>
      <c r="CF104" s="304">
        <f t="shared" si="47"/>
        <v>5541.5620516704548</v>
      </c>
      <c r="CG104" s="304">
        <f t="shared" si="47"/>
        <v>670.45477512236619</v>
      </c>
      <c r="CH104" s="304">
        <f t="shared" si="47"/>
        <v>1080.5044442657465</v>
      </c>
      <c r="CI104" s="304">
        <f t="shared" si="47"/>
        <v>108.40393552066378</v>
      </c>
      <c r="CJ104" s="304">
        <f t="shared" si="47"/>
        <v>1.1783036469637367</v>
      </c>
      <c r="CK104" s="304">
        <f t="shared" si="47"/>
        <v>327.56841385591883</v>
      </c>
      <c r="CL104" s="304">
        <f t="shared" si="47"/>
        <v>3586.7563013576146</v>
      </c>
      <c r="CM104" s="304">
        <f t="shared" si="47"/>
        <v>17.67455470445605</v>
      </c>
      <c r="CN104" s="304">
        <f t="shared" si="47"/>
        <v>355.84770138304845</v>
      </c>
      <c r="CO104" s="304">
        <f t="shared" si="47"/>
        <v>27.100983880165945</v>
      </c>
      <c r="CP104" s="304">
        <f t="shared" si="47"/>
        <v>11.783036469637368</v>
      </c>
      <c r="CQ104" s="304">
        <f t="shared" si="47"/>
        <v>21.209465645347262</v>
      </c>
      <c r="CR104" s="304">
        <f t="shared" si="47"/>
        <v>11783.036469637367</v>
      </c>
      <c r="CS104" s="305">
        <f t="shared" ref="CS104:CS115" si="52">H104-CR104</f>
        <v>0</v>
      </c>
      <c r="CV104" s="265"/>
      <c r="CW104" s="265" t="s">
        <v>667</v>
      </c>
      <c r="CX104" s="267">
        <f>INDEX($M$101:$Z$115,MATCH($CW104,$L$101:$L$115,0),MATCH(CX$102,$M$102:$Z$102,0))/INDEX(고양시_재차인원!$D$4:$H$35,MATCH("고양시",고양시_재차인원!$B$4:$B$35,0),MATCH($CX$101,고양시_재차인원!$D$4:$H$4,0))</f>
        <v>542.26308076108455</v>
      </c>
      <c r="CY104" s="267">
        <f>INDEX($M$101:$Z$115,MATCH($CW104,$L$101:$L$115,0),MATCH(CY$102,$M$102:$Z$102,0))/INDEX(고양시_재차인원!$K$4:$O$20,MATCH("경기도",고양시_재차인원!$K$4:$K$20,0),MATCH(CY$102,고양시_재차인원!$K$4:$O$4,0))</f>
        <v>4.4855057335378649E-3</v>
      </c>
      <c r="CZ104" s="267">
        <f>INDEX($M$101:$Z$115,MATCH($CW104,$L$101:$L$115,0),MATCH(CZ$102,$M$102:$Z$102,0))/INDEX(고양시_재차인원!$K$4:$O$20,MATCH("경기도",고양시_재차인원!$K$4:$K$20,0),MATCH(CZ$102,고양시_재차인원!$K$4:$O$4,0))</f>
        <v>1.246970593923526</v>
      </c>
      <c r="DA104" s="267">
        <f>INDEX($M$101:$Z$115,MATCH($CW104,$L$101:$L$115,0),MATCH(DA$102,$M$102:$Z$102,0))/INDEX(고양시_재차인원!$D$4:$H$35,MATCH("고양시",고양시_재차인원!$B$4:$B$35,0),MATCH($CX$101,고양시_재차인원!$D$4:$H$4,0))</f>
        <v>34.821061107771101</v>
      </c>
      <c r="DB104" s="267">
        <f>INDEX($AA$101:$AN$115,MATCH($CW104,$L$101:$L$115,0),MATCH(DB$102,$AA$102:$AN$102,0))/INDEX(고양시_재차인원!$D$4:$H$35,MATCH("고양시",고양시_재차인원!$B$4:$B$35,0),MATCH($DB$101,고양시_재차인원!$D$4:$H$4,0))</f>
        <v>3349.4434272955432</v>
      </c>
      <c r="DC104" s="267">
        <f>INDEX($AA$101:$AN$115,MATCH($CW104,$L$101:$L$115,0),MATCH(DC$102,$AA$102:$AN$102,0))/INDEX(고양시_재차인원!$K$4:$O$20,MATCH("경기도",고양시_재차인원!$K$4:$K$20,0),MATCH(DC$102,고양시_재차인원!$K$4:$O$4,0))</f>
        <v>3.4879890744592947E-2</v>
      </c>
      <c r="DD104" s="267">
        <f>INDEX($AA$101:$AN$115,MATCH($CW104,$L$101:$L$115,0),MATCH(DD$102,$AA$102:$AN$102,0))/INDEX(고양시_재차인원!$K$4:$O$20,MATCH("경기도",고양시_재차인원!$K$4:$K$20,0),MATCH(DD$102,고양시_재차인원!$K$4:$O$4,0))</f>
        <v>9.6966096269968389</v>
      </c>
      <c r="DE104" s="267">
        <f>INDEX($AA$101:$AN$115,MATCH($CW104,$L$101:$L$115,0),MATCH(DE$102,$AA$102:$AN$102,0))/INDEX(고양시_재차인원!$D$4:$H$35,MATCH("고양시",고양시_재차인원!$B$4:$B$35,0),MATCH($DB$101,고양시_재차인원!$D$4:$H$4,0))</f>
        <v>215.08226983696659</v>
      </c>
      <c r="DF104" s="267">
        <f>INDEX($AO$101:$BB$115,MATCH($CW104,$L$101:$L$115,0),MATCH(DF$102,$AO$102:$BB$102,0))/INDEX(고양시_재차인원!$D$4:$H$35,MATCH("고양시",고양시_재차인원!$B$4:$B$35,0),MATCH($DF$101,고양시_재차인원!$D$4:$H$4,0))</f>
        <v>161.02770790153812</v>
      </c>
      <c r="DG104" s="267">
        <f>INDEX($AO$101:$BB$115,MATCH($CW104,$L$101:$L$115,0),MATCH(DG$102,$AO$102:$BB$102,0))/INDEX(고양시_재차인원!$K$4:$O$20,MATCH("경기도",고양시_재차인원!$K$4:$K$20,0),MATCH(DG$102,고양시_재차인원!$K$4:$O$4,0))</f>
        <v>1.5460634733529379E-3</v>
      </c>
      <c r="DH104" s="267">
        <f>INDEX($AO$101:$BB$115,MATCH($CW104,$L$101:$L$115,0),MATCH(DH$102,$AO$102:$BB$102,0))/INDEX(고양시_재차인원!$K$4:$O$20,MATCH("경기도",고양시_재차인원!$K$4:$K$20,0),MATCH(DH$102,고양시_재차인원!$K$4:$O$4,0))</f>
        <v>0.42980564559211665</v>
      </c>
      <c r="DI104" s="267">
        <f>INDEX($AO$101:$BB$115,MATCH($CW104,$L$101:$L$115,0),MATCH(DI$102,$AO$102:$BB$102,0))/INDEX(고양시_재차인원!$D$4:$H$35,MATCH("고양시",고양시_재차인원!$B$4:$B$35,0),MATCH($DF$101,고양시_재차인원!$D$4:$H$4,0))</f>
        <v>10.340286580111528</v>
      </c>
      <c r="DJ104" s="267">
        <f>INDEX($BC$101:$BP$115,MATCH($CW104,$L$101:$L$115,0),MATCH(DJ$102,$BC$102:$BP$102,0))/INDEX(고양시_재차인원!$D$4:$H$35,MATCH("고양시",고양시_재차인원!$B$4:$B$35,0),MATCH($DJ$101,고양시_재차인원!$D$4:$H$4,0))</f>
        <v>0.41741978120039586</v>
      </c>
      <c r="DK104" s="267">
        <f>INDEX($BC$101:$BP$115,MATCH($CW104,$L$101:$L$115,0),MATCH(DK$102,$BC$102:$BP$102,0))/INDEX(고양시_재차인원!$K$4:$O$20,MATCH("경기도",고양시_재차인원!$K$4:$K$20,0),MATCH(DK$102,고양시_재차인원!$K$4:$O$4,0))</f>
        <v>4.1927145040079466E-6</v>
      </c>
      <c r="DL104" s="267">
        <f>INDEX($BC$101:$BP$115,MATCH($CW104,$L$101:$L$115,0),MATCH(DL$102,$BC$102:$BP$102,0))/INDEX(고양시_재차인원!$K$4:$O$20,MATCH("경기도",고양시_재차인원!$K$4:$K$20,0),MATCH(DL$102,고양시_재차인원!$K$4:$O$4,0))</f>
        <v>1.1655746321142088E-3</v>
      </c>
      <c r="DM104" s="267">
        <f>INDEX($BC$101:$BP$115,MATCH($CW104,$L$101:$L$115,0),MATCH(DM$102,$BC$102:$BP$102,0))/INDEX(고양시_재차인원!$D$4:$H$35,MATCH("고양시",고양시_재차인원!$B$4:$B$35,0),MATCH($DJ$101,고양시_재차인원!$D$4:$H$4,0))</f>
        <v>2.6804332111953971E-2</v>
      </c>
      <c r="DN104" s="267">
        <f>INDEX($BQ$101:$CD$115,MATCH($CW104,$L$101:$L$115,0),MATCH(DN$102,$BQ$102:$CD$102,0))/INDEX(고양시_재차인원!$D$4:$H$35,MATCH("고양시",고양시_재차인원!$B$4:$B$35,0),MATCH($DN$101,고양시_재차인원!$D$4:$H$4,0))</f>
        <v>1.2765536165811147</v>
      </c>
      <c r="DO104" s="267">
        <f>INDEX($BQ$101:$CD$115,MATCH($CW104,$L$101:$L$115,0),MATCH(DO$102,$BQ$102:$CD$102,0))/INDEX(고양시_재차인원!$K$4:$O$20,MATCH("경기도",고양시_재차인원!$K$4:$K$20,0),MATCH(DO$102,고양시_재차인원!$K$4:$O$4,0))</f>
        <v>1.1879357761355938E-5</v>
      </c>
      <c r="DP104" s="267">
        <f>INDEX($BQ$101:$CD$115,MATCH($CW104,$L$101:$L$115,0),MATCH(DP$102,$BQ$102:$CD$102,0))/INDEX(고양시_재차인원!$K$4:$O$20,MATCH("경기도",고양시_재차인원!$K$4:$K$20,0),MATCH(DP$102,고양시_재차인원!$K$4:$O$4,0))</f>
        <v>3.302461457656951E-3</v>
      </c>
      <c r="DQ104" s="267">
        <f>INDEX($BQ$101:$CD$115,MATCH($CW104,$L$101:$L$115,0),MATCH(DQ$102,$BQ$102:$CD$102,0))/INDEX(고양시_재차인원!$D$4:$H$35,MATCH("고양시",고양시_재차인원!$B$4:$B$35,0),MATCH($DN$101,고양시_재차인원!$D$4:$H$4,0))</f>
        <v>8.1973036829150886E-2</v>
      </c>
      <c r="DR104" s="270">
        <f t="shared" ref="DR104:DR115" si="53">CX104+DB104+DF104+DJ104+DN104</f>
        <v>4054.4281893559473</v>
      </c>
      <c r="DS104" s="270">
        <f t="shared" si="48"/>
        <v>4.0927532023749109E-2</v>
      </c>
      <c r="DT104" s="270">
        <f t="shared" si="48"/>
        <v>11.377853902602254</v>
      </c>
      <c r="DU104" s="270">
        <f t="shared" si="48"/>
        <v>260.35239489379035</v>
      </c>
      <c r="DW104" s="278"/>
      <c r="DX104" s="278" t="s">
        <v>667</v>
      </c>
      <c r="DY104" s="281">
        <f t="shared" ref="DY104:DY115" si="54">DR104+DU104</f>
        <v>4314.7805842497373</v>
      </c>
      <c r="DZ104" s="281">
        <f t="shared" ref="DZ104:DZ115" si="55">DS104+DT104</f>
        <v>11.418781434626004</v>
      </c>
      <c r="EB104" s="278"/>
      <c r="EC104" s="278" t="s">
        <v>667</v>
      </c>
      <c r="ED104" s="281">
        <f t="shared" ref="ED104:ED115" si="56">DY104</f>
        <v>4314.7805842497373</v>
      </c>
      <c r="EE104" s="281">
        <f t="shared" si="49"/>
        <v>11.418781434626004</v>
      </c>
      <c r="EL104" s="306" t="s">
        <v>12</v>
      </c>
      <c r="EM104" s="306" t="s">
        <v>610</v>
      </c>
      <c r="EN104" s="306">
        <v>5231.5074000000004</v>
      </c>
      <c r="EO104" s="306">
        <v>7.8111327130966773E-2</v>
      </c>
      <c r="EP104" s="307">
        <v>849102</v>
      </c>
      <c r="EQ104" s="308">
        <f t="shared" ref="EQ104:EQ137" si="57">VLOOKUP($EL104,$EC$102:$EE$114,2,FALSE)*$EO104</f>
        <v>15.476090088470547</v>
      </c>
      <c r="ER104" s="308">
        <f t="shared" ref="ER104:ER137" si="58">VLOOKUP($EL104,$EC$102:$EE$114,3,FALSE)*$EO104</f>
        <v>4.0956448823354252E-2</v>
      </c>
      <c r="ET104" s="420" t="s">
        <v>12</v>
      </c>
      <c r="EU104" s="420" t="s">
        <v>610</v>
      </c>
      <c r="EV104" s="420">
        <v>5231.5074000000004</v>
      </c>
      <c r="EW104" s="420">
        <v>7.8111327130966773E-2</v>
      </c>
      <c r="EX104" s="421">
        <v>849102</v>
      </c>
      <c r="EY104" s="422">
        <f t="shared" ref="EY104:EY136" si="59">EQ104*$AV$11*(1-$AZ$7)</f>
        <v>15.035021520949137</v>
      </c>
      <c r="EZ104" s="422">
        <f t="shared" ref="EZ104:EZ136" si="60">ER104*AV$11*(1-$AZ$7)</f>
        <v>3.978919003188866E-2</v>
      </c>
      <c r="FA104">
        <v>0</v>
      </c>
      <c r="FD104" s="306" t="s">
        <v>12</v>
      </c>
      <c r="FE104" s="306" t="s">
        <v>610</v>
      </c>
      <c r="FF104" s="306">
        <v>5231.5074000000004</v>
      </c>
      <c r="FG104" s="306">
        <v>7.8111327130966773E-2</v>
      </c>
      <c r="FH104" s="307">
        <v>849102</v>
      </c>
      <c r="FI104" s="308">
        <f t="shared" ref="FI104:FI136" si="61">EY104*$FB$95</f>
        <v>15.035021520949137</v>
      </c>
      <c r="FJ104" s="308">
        <f t="shared" si="50"/>
        <v>3.978919003188866E-2</v>
      </c>
      <c r="FL104" s="101"/>
      <c r="FM104" s="101"/>
      <c r="FN104" s="101"/>
      <c r="FO104" s="101"/>
      <c r="FP104" s="374"/>
      <c r="FQ104" s="404"/>
      <c r="FR104" s="404"/>
    </row>
    <row r="105" spans="1:174" ht="25">
      <c r="A105" s="205"/>
      <c r="B105" s="205" t="s">
        <v>669</v>
      </c>
      <c r="C105" s="400">
        <f>$AB63*KTDB_TripDistribution_2040!L$12 * (1+KTDB_발생량도착량_증가율!$C$8*2) * (1+KTDB_발생량도착량_증가율!$D$7*5) * (1+KTDB_발생량도착량_증가율!$E$7*5) * (1+KTDB_발생량도착량_증가율!$F$7*5)</f>
        <v>970.68836558099792</v>
      </c>
      <c r="D105" s="400">
        <f>$AB63*KTDB_TripDistribution_2040!M$12 * (1+KTDB_발생량도착량_증가율!$C$8*2) * (1+KTDB_발생량도착량_증가율!$D$7*5) * (1+KTDB_발생량도착량_증가율!$E$7*5) * (1+KTDB_발생량도착량_증가율!$F$7*5)</f>
        <v>7548.2021760360531</v>
      </c>
      <c r="E105" s="400">
        <f>$AB63*KTDB_TripDistribution_2040!N$12 * (1+KTDB_발생량도착량_증가율!$C$8*2) * (1+KTDB_발생량도착량_증가율!$D$7*5) * (1+KTDB_발생량도착량_증가율!$E$7*5) * (1+KTDB_발생량도착량_증가율!$F$7*5)</f>
        <v>334.57672672502781</v>
      </c>
      <c r="F105" s="400">
        <f>$AB63*KTDB_TripDistribution_2040!O$12 * (1+KTDB_발생량도착량_증가율!$C$8*2) * (1+KTDB_발생량도착량_증가율!$D$7*5) * (1+KTDB_발생량도착량_증가율!$E$7*5) * (1+KTDB_발생량도착량_증가율!$F$7*5)</f>
        <v>0.90732671654244401</v>
      </c>
      <c r="G105" s="400">
        <f>$AB63*KTDB_TripDistribution_2040!P$12 * (1+KTDB_발생량도착량_증가율!$C$8*2) * (1+KTDB_발생량도착량_증가율!$D$7*5) * (1+KTDB_발생량도착량_증가율!$E$7*5) * (1+KTDB_발생량도착량_증가율!$F$7*5)</f>
        <v>2.5707590302036114</v>
      </c>
      <c r="H105" s="400">
        <f>$AB63*KTDB_TripDistribution_2040!Q$12 * (1+KTDB_발생량도착량_증가율!$C$8*2) * (1+KTDB_발생량도착량_증가율!$D$7*5) * (1+KTDB_발생량도착량_증가율!$E$7*5) * (1+KTDB_발생량도착량_증가율!$F$7*5)</f>
        <v>8856.9453540888262</v>
      </c>
      <c r="J105" s="230">
        <f t="shared" si="46"/>
        <v>8856.945354088828</v>
      </c>
      <c r="K105" s="206"/>
      <c r="L105" s="206" t="s">
        <v>669</v>
      </c>
      <c r="M105" s="206">
        <f>INDEX($A$102:$H$115,MATCH($L105,$B$102:$B$115,0),MATCH($M$101,$A$102:$H$102,0))*고양시_Modal_split!C$3 * 0.01</f>
        <v>2.7179274236267941</v>
      </c>
      <c r="N105" s="206">
        <f>INDEX($A$102:$H$115,MATCH($L105,$B$102:$B$115,0),MATCH($M$101,$A$102:$H$102,0))*고양시_Modal_split!D$3 * 0.01</f>
        <v>456.51473833274338</v>
      </c>
      <c r="O105" s="206">
        <f>INDEX($A$102:$H$115,MATCH($L105,$B$102:$B$115,0),MATCH($M$101,$A$102:$H$102,0))*고양시_Modal_split!E$3 * 0.01</f>
        <v>55.232168001558776</v>
      </c>
      <c r="P105" s="206">
        <f>INDEX($A$102:$H$115,MATCH($L105,$B$102:$B$115,0),MATCH($M$101,$A$102:$H$102,0))*고양시_Modal_split!F$3 * 0.01</f>
        <v>89.012123123777513</v>
      </c>
      <c r="Q105" s="206">
        <f>INDEX($A$102:$H$115,MATCH($L105,$B$102:$B$115,0),MATCH($M$101,$A$102:$H$102,0))*고양시_Modal_split!G$3 * 0.01</f>
        <v>8.9303329633451796</v>
      </c>
      <c r="R105" s="206">
        <f>INDEX($A$102:$H$115,MATCH($L105,$B$102:$B$115,0),MATCH($M$101,$A$102:$H$102,0))*고양시_Modal_split!H$3 * 0.01</f>
        <v>9.7068836558099808E-2</v>
      </c>
      <c r="S105" s="206">
        <f>INDEX($A$102:$H$115,MATCH($L105,$B$102:$B$115,0),MATCH($M$101,$A$102:$H$102,0))*고양시_Modal_split!I$3 * 0.01</f>
        <v>26.985136563151741</v>
      </c>
      <c r="T105" s="206">
        <f>INDEX($A$102:$H$115,MATCH($L105,$B$102:$B$115,0),MATCH($M$101,$A$102:$H$102,0))*고양시_Modal_split!J$3 * 0.01</f>
        <v>295.47753848285578</v>
      </c>
      <c r="U105" s="206">
        <f>INDEX($A$102:$H$115,MATCH($L105,$B$102:$B$115,0),MATCH($M$101,$A$102:$H$102,0))*고양시_Modal_split!K$3 * 0.01</f>
        <v>1.4560325483714969</v>
      </c>
      <c r="V105" s="206">
        <f>INDEX($A$102:$H$115,MATCH($L105,$B$102:$B$115,0),MATCH($M$101,$A$102:$H$102,0))*고양시_Modal_split!L$3 * 0.01</f>
        <v>29.314788640546141</v>
      </c>
      <c r="W105" s="206">
        <f>INDEX($A$102:$H$115,MATCH($L105,$B$102:$B$115,0),MATCH($M$101,$A$102:$H$102,0))*고양시_Modal_split!M$3 * 0.01</f>
        <v>2.2325832408362949</v>
      </c>
      <c r="X105" s="206">
        <f>INDEX($A$102:$H$115,MATCH($L105,$B$102:$B$115,0),MATCH($M$101,$A$102:$H$102,0))*고양시_Modal_split!N$3 * 0.01</f>
        <v>0.97068836558099802</v>
      </c>
      <c r="Y105" s="206">
        <f>INDEX($A$102:$H$115,MATCH($L105,$B$102:$B$115,0),MATCH($M$101,$A$102:$H$102,0))*고양시_Modal_split!O$3 * 0.01</f>
        <v>1.7472390580457964</v>
      </c>
      <c r="Z105" s="209">
        <f>INDEX($A$102:$H$115,MATCH($L105,$B$102:$B$115,0),MATCH($M$101,$A$102:$H$102,0))*고양시_Modal_split!P$3 * 0.01</f>
        <v>970.68836558099792</v>
      </c>
      <c r="AA105" s="207">
        <f>INDEX($A$102:$H$115,MATCH($L105,$B$102:$B$115,0),MATCH($AA$101,$A$102:$H$102,0))*고양시_Modal_split!C$3 * 0.01</f>
        <v>21.134966092900946</v>
      </c>
      <c r="AB105" s="207">
        <f>INDEX($A$102:$H$115,MATCH($L105,$B$102:$B$115,0),MATCH($AA$101,$A$102:$H$102,0))*고양시_Modal_split!D$3 * 0.01</f>
        <v>3549.9194833897564</v>
      </c>
      <c r="AC105" s="207">
        <f>INDEX($A$102:$H$115,MATCH($L105,$B$102:$B$115,0),MATCH($AA$101,$A$102:$H$102,0))*고양시_Modal_split!E$3 * 0.01</f>
        <v>429.49270381645141</v>
      </c>
      <c r="AD105" s="207">
        <f>INDEX($A$102:$H$115,MATCH($L105,$B$102:$B$115,0),MATCH($AA$101,$A$102:$H$102,0))*고양시_Modal_split!F$3 * 0.01</f>
        <v>692.17013954250604</v>
      </c>
      <c r="AE105" s="207">
        <f>INDEX($A$102:$H$115,MATCH($L105,$B$102:$B$115,0),MATCH($AA$101,$A$102:$H$102,0))*고양시_Modal_split!G$3 * 0.01</f>
        <v>69.443460019531685</v>
      </c>
      <c r="AF105" s="207">
        <f>INDEX($A$102:$H$115,MATCH($L105,$B$102:$B$115,0),MATCH($AA$101,$A$102:$H$102,0))*고양시_Modal_split!H$3 * 0.01</f>
        <v>0.7548202176036054</v>
      </c>
      <c r="AG105" s="207">
        <f>INDEX($A$102:$H$115,MATCH($L105,$B$102:$B$115,0),MATCH($AA$101,$A$102:$H$102,0))*고양시_Modal_split!I$3 * 0.01</f>
        <v>209.84002049380226</v>
      </c>
      <c r="AH105" s="207">
        <f>INDEX($A$102:$H$115,MATCH($L105,$B$102:$B$115,0),MATCH($AA$101,$A$102:$H$102,0))*고양시_Modal_split!J$3 * 0.01</f>
        <v>2297.6727423853749</v>
      </c>
      <c r="AI105" s="207">
        <f>INDEX($A$102:$H$115,MATCH($L105,$B$102:$B$115,0),MATCH($AA$101,$A$102:$H$102,0))*고양시_Modal_split!K$3 * 0.01</f>
        <v>11.322303264054078</v>
      </c>
      <c r="AJ105" s="207">
        <f>INDEX($A$102:$H$115,MATCH($L105,$B$102:$B$115,0),MATCH($AA$101,$A$102:$H$102,0))*고양시_Modal_split!L$3 * 0.01</f>
        <v>227.9557057162888</v>
      </c>
      <c r="AK105" s="207">
        <f>INDEX($A$102:$H$115,MATCH($L105,$B$102:$B$115,0),MATCH($AA$101,$A$102:$H$102,0))*고양시_Modal_split!M$3 * 0.01</f>
        <v>17.360865004882921</v>
      </c>
      <c r="AL105" s="207">
        <f>INDEX($A$102:$H$115,MATCH($L105,$B$102:$B$115,0),MATCH($AA$101,$A$102:$H$102,0))*고양시_Modal_split!N$3 * 0.01</f>
        <v>7.5482021760360531</v>
      </c>
      <c r="AM105" s="207">
        <f>INDEX($A$102:$H$115,MATCH($L105,$B$102:$B$115,0),MATCH($AA$101,$A$102:$H$102,0))*고양시_Modal_split!O$3 * 0.01</f>
        <v>13.586763916864896</v>
      </c>
      <c r="AN105" s="207">
        <f>INDEX($A$102:$H$115,MATCH($L105,$B$102:$B$115,0),MATCH($AA$101,$A$102:$H$102,0))*고양시_Modal_split!P$3 * 0.01</f>
        <v>7548.202176036054</v>
      </c>
      <c r="AO105" s="303">
        <f>INDEX($A$102:$H$115,MATCH($L105,$B$102:$B$115,0),MATCH($AO$101,$A$102:$H$102,0))*고양시_Modal_split!C$3 * 0.01</f>
        <v>0.93681483483007788</v>
      </c>
      <c r="AP105" s="303">
        <f>INDEX($A$102:$H$115,MATCH($L105,$B$102:$B$115,0),MATCH($AO$101,$A$102:$H$102,0))*고양시_Modal_split!D$3 * 0.01</f>
        <v>157.35143457878058</v>
      </c>
      <c r="AQ105" s="303">
        <f>INDEX($A$102:$H$115,MATCH($L105,$B$102:$B$115,0),MATCH($AO$101,$A$102:$H$102,0))*고양시_Modal_split!E$3 * 0.01</f>
        <v>19.03741575065408</v>
      </c>
      <c r="AR105" s="303">
        <f>INDEX($A$102:$H$115,MATCH($L105,$B$102:$B$115,0),MATCH($AO$101,$A$102:$H$102,0))*고양시_Modal_split!F$3 * 0.01</f>
        <v>30.680685840685051</v>
      </c>
      <c r="AS105" s="303">
        <f>INDEX($A$102:$H$115,MATCH($L105,$B$102:$B$115,0),MATCH($AO$101,$A$102:$H$102,0))*고양시_Modal_split!G$3 * 0.01</f>
        <v>3.0781058858702557</v>
      </c>
      <c r="AT105" s="303">
        <f>INDEX($A$102:$H$115,MATCH($L105,$B$102:$B$115,0),MATCH($AO$101,$A$102:$H$102,0))*고양시_Modal_split!H$3 * 0.01</f>
        <v>3.3457672672502783E-2</v>
      </c>
      <c r="AU105" s="303">
        <f>INDEX($A$102:$H$115,MATCH($L105,$B$102:$B$115,0),MATCH($AO$101,$A$102:$H$102,0))*고양시_Modal_split!I$3 * 0.01</f>
        <v>9.3012330029557724</v>
      </c>
      <c r="AV105" s="303">
        <f>INDEX($A$102:$H$115,MATCH($L105,$B$102:$B$115,0),MATCH($AO$101,$A$102:$H$102,0))*고양시_Modal_split!J$3 * 0.01</f>
        <v>101.84515561509846</v>
      </c>
      <c r="AW105" s="303">
        <f>INDEX($A$102:$H$115,MATCH($L105,$B$102:$B$115,0),MATCH($AO$101,$A$102:$H$102,0))*고양시_Modal_split!K$3 * 0.01</f>
        <v>0.50186509008754177</v>
      </c>
      <c r="AX105" s="303">
        <f>INDEX($A$102:$H$115,MATCH($L105,$B$102:$B$115,0),MATCH($AO$101,$A$102:$H$102,0))*고양시_Modal_split!L$3 * 0.01</f>
        <v>10.10421714709584</v>
      </c>
      <c r="AY105" s="303">
        <f>INDEX($A$102:$H$115,MATCH($L105,$B$102:$B$115,0),MATCH($AO$101,$A$102:$H$102,0))*고양시_Modal_split!M$3 * 0.01</f>
        <v>0.76952647146756392</v>
      </c>
      <c r="AZ105" s="303">
        <f>INDEX($A$102:$H$115,MATCH($L105,$B$102:$B$115,0),MATCH($AO$101,$A$102:$H$102,0))*고양시_Modal_split!N$3 * 0.01</f>
        <v>0.33457672672502781</v>
      </c>
      <c r="BA105" s="207">
        <f>INDEX($A$102:$H$115,MATCH($L105,$B$102:$B$115,0),MATCH($AO$101,$A$102:$H$102,0))*고양시_Modal_split!O$3 * 0.01</f>
        <v>0.60223810810504996</v>
      </c>
      <c r="BB105" s="207">
        <f>INDEX($A$102:$H$115,MATCH($L105,$B$102:$B$115,0),MATCH($AO$101,$A$102:$H$102,0))*고양시_Modal_split!P$3 * 0.01</f>
        <v>334.57672672502787</v>
      </c>
      <c r="BC105" s="207">
        <f>INDEX($A$102:$H$115,MATCH($L105,$B$102:$B$115,0),MATCH($BC$101,$A$102:$H$102,0))*고양시_Modal_split!C$3 * 0.01</f>
        <v>2.5405148063188431E-3</v>
      </c>
      <c r="BD105" s="207">
        <f>INDEX($A$102:$H$115,MATCH($L105,$B$102:$B$115,0),MATCH($BC$101,$A$102:$H$102,0))*고양시_Modal_split!D$3 * 0.01</f>
        <v>0.42671575478991147</v>
      </c>
      <c r="BE105" s="207">
        <f>INDEX($A$102:$H$115,MATCH($L105,$B$102:$B$115,0),MATCH($BC$101,$A$102:$H$102,0))*고양시_Modal_split!E$3 * 0.01</f>
        <v>5.1626890171265059E-2</v>
      </c>
      <c r="BF105" s="207">
        <f>INDEX($A$102:$H$115,MATCH($L105,$B$102:$B$115,0),MATCH($BC$101,$A$102:$H$102,0))*고양시_Modal_split!F$3 * 0.01</f>
        <v>8.3201859906942122E-2</v>
      </c>
      <c r="BG105" s="207">
        <f>INDEX($A$102:$H$115,MATCH($L105,$B$102:$B$115,0),MATCH($BC$101,$A$102:$H$102,0))*고양시_Modal_split!G$3 * 0.01</f>
        <v>8.3474057921904838E-3</v>
      </c>
      <c r="BH105" s="207">
        <f>INDEX($A$102:$H$115,MATCH($L105,$B$102:$B$115,0),MATCH($BC$101,$A$102:$H$102,0))*고양시_Modal_split!H$3 * 0.01</f>
        <v>9.0732671654244413E-5</v>
      </c>
      <c r="BI105" s="207">
        <f>INDEX($A$102:$H$115,MATCH($L105,$B$102:$B$115,0),MATCH($BC$101,$A$102:$H$102,0))*고양시_Modal_split!I$3 * 0.01</f>
        <v>2.5223682719879941E-2</v>
      </c>
      <c r="BJ105" s="207">
        <f>INDEX($A$102:$H$115,MATCH($L105,$B$102:$B$115,0),MATCH($BC$101,$A$102:$H$102,0))*고양시_Modal_split!J$3 * 0.01</f>
        <v>0.27619025251551999</v>
      </c>
      <c r="BK105" s="207">
        <f>INDEX($A$102:$H$115,MATCH($L105,$B$102:$B$115,0),MATCH($BC$101,$A$102:$H$102,0))*고양시_Modal_split!K$3 * 0.01</f>
        <v>1.3609900748136662E-3</v>
      </c>
      <c r="BL105" s="207">
        <f>INDEX($A$102:$H$115,MATCH($L105,$B$102:$B$115,0),MATCH($BC$101,$A$102:$H$102,0))*고양시_Modal_split!L$3 * 0.01</f>
        <v>2.7401266839581807E-2</v>
      </c>
      <c r="BM105" s="207">
        <f>INDEX($A$102:$H$115,MATCH($L105,$B$102:$B$115,0),MATCH($BC$101,$A$102:$H$102,0))*고양시_Modal_split!M$3 * 0.01</f>
        <v>2.086851448047621E-3</v>
      </c>
      <c r="BN105" s="207">
        <f>INDEX($A$102:$H$115,MATCH($L105,$B$102:$B$115,0),MATCH($BC$101,$A$102:$H$102,0))*고양시_Modal_split!N$3 * 0.01</f>
        <v>9.0732671654244416E-4</v>
      </c>
      <c r="BO105" s="207">
        <f>INDEX($A$102:$H$115,MATCH($L105,$B$102:$B$115,0),MATCH($BC$101,$A$102:$H$102,0))*고양시_Modal_split!O$3 * 0.01</f>
        <v>1.6331880897763992E-3</v>
      </c>
      <c r="BP105" s="207">
        <f>INDEX($A$102:$H$115,MATCH($L105,$B$102:$B$115,0),MATCH($BC$101,$A$102:$H$102,0))*고양시_Modal_split!P$3 * 0.01</f>
        <v>0.90732671654244401</v>
      </c>
      <c r="BQ105" s="207">
        <f>INDEX($A$102:$H$115,MATCH($L105,$B$102:$B$115,0),MATCH($BQ$101,$A$102:$H$102,0))*고양시_Modal_split!C$3 * 0.01</f>
        <v>7.1981252845701119E-3</v>
      </c>
      <c r="BR105" s="207">
        <f>INDEX($A$102:$H$115,MATCH($L105,$B$102:$B$115,0),MATCH($BQ$101,$A$102:$H$102,0))*고양시_Modal_split!D$3 * 0.01</f>
        <v>1.2090279719047585</v>
      </c>
      <c r="BS105" s="207">
        <f>INDEX($A$102:$H$115,MATCH($L105,$B$102:$B$115,0),MATCH($BQ$101,$A$102:$H$102,0))*고양시_Modal_split!E$3 * 0.01</f>
        <v>0.14627618881858548</v>
      </c>
      <c r="BT105" s="207">
        <f>INDEX($A$102:$H$115,MATCH($L105,$B$102:$B$115,0),MATCH($BQ$101,$A$102:$H$102,0))*고양시_Modal_split!F$3 * 0.01</f>
        <v>0.23573860306967118</v>
      </c>
      <c r="BU105" s="207">
        <f>INDEX($A$102:$H$115,MATCH($L105,$B$102:$B$115,0),MATCH($BQ$101,$A$102:$H$102,0))*고양시_Modal_split!G$3 * 0.01</f>
        <v>2.3650983077873226E-2</v>
      </c>
      <c r="BV105" s="207">
        <f>INDEX($A$102:$H$115,MATCH($L105,$B$102:$B$115,0),MATCH($BQ$101,$A$102:$H$102,0))*고양시_Modal_split!H$3 * 0.01</f>
        <v>2.5707590302036112E-4</v>
      </c>
      <c r="BW105" s="207">
        <f>INDEX($A$102:$H$115,MATCH($L105,$B$102:$B$115,0),MATCH($BQ$101,$A$102:$H$102,0))*고양시_Modal_split!I$3 * 0.01</f>
        <v>7.1467101039660391E-2</v>
      </c>
      <c r="BX105" s="207">
        <f>INDEX($A$102:$H$115,MATCH($L105,$B$102:$B$115,0),MATCH($BQ$101,$A$102:$H$102,0))*고양시_Modal_split!J$3 * 0.01</f>
        <v>0.7825390487939794</v>
      </c>
      <c r="BY105" s="207">
        <f>INDEX($A$102:$H$115,MATCH($L105,$B$102:$B$115,0),MATCH($BQ$101,$A$102:$H$102,0))*고양시_Modal_split!K$3 * 0.01</f>
        <v>3.856138545305417E-3</v>
      </c>
      <c r="BZ105" s="207">
        <f>INDEX($A$102:$H$115,MATCH($L105,$B$102:$B$115,0),MATCH($BQ$101,$A$102:$H$102,0))*고양시_Modal_split!L$3 * 0.01</f>
        <v>7.7636922712149059E-2</v>
      </c>
      <c r="CA105" s="207">
        <f>INDEX($A$102:$H$115,MATCH($L105,$B$102:$B$115,0),MATCH($BQ$101,$A$102:$H$102,0))*고양시_Modal_split!M$3 * 0.01</f>
        <v>5.9127457694683064E-3</v>
      </c>
      <c r="CB105" s="207">
        <f>INDEX($A$102:$H$115,MATCH($L105,$B$102:$B$115,0),MATCH($BQ$101,$A$102:$H$102,0))*고양시_Modal_split!N$3 * 0.01</f>
        <v>2.5707590302036115E-3</v>
      </c>
      <c r="CC105" s="207">
        <f>INDEX($A$102:$H$115,MATCH($L105,$B$102:$B$115,0),MATCH($BQ$101,$A$102:$H$102,0))*고양시_Modal_split!O$3 * 0.01</f>
        <v>4.6273662543665009E-3</v>
      </c>
      <c r="CD105" s="207">
        <f>INDEX($A$102:$H$115,MATCH($L105,$B$102:$B$115,0),MATCH($BQ$101,$A$102:$H$102,0))*고양시_Modal_split!P$3 * 0.01</f>
        <v>2.5707590302036114</v>
      </c>
      <c r="CE105" s="304">
        <f t="shared" si="51"/>
        <v>24.799446991448708</v>
      </c>
      <c r="CF105" s="304">
        <f t="shared" si="47"/>
        <v>4165.4214000279753</v>
      </c>
      <c r="CG105" s="304">
        <f t="shared" si="47"/>
        <v>503.96019064765414</v>
      </c>
      <c r="CH105" s="304">
        <f t="shared" si="47"/>
        <v>812.18188896994525</v>
      </c>
      <c r="CI105" s="304">
        <f t="shared" si="47"/>
        <v>81.483897257617187</v>
      </c>
      <c r="CJ105" s="304">
        <f t="shared" si="47"/>
        <v>0.88569453540888265</v>
      </c>
      <c r="CK105" s="304">
        <f t="shared" si="47"/>
        <v>246.22308084366932</v>
      </c>
      <c r="CL105" s="304">
        <f t="shared" si="47"/>
        <v>2696.0541657846388</v>
      </c>
      <c r="CM105" s="304">
        <f t="shared" si="47"/>
        <v>13.285418031133235</v>
      </c>
      <c r="CN105" s="304">
        <f t="shared" si="47"/>
        <v>267.47974969348252</v>
      </c>
      <c r="CO105" s="304">
        <f t="shared" si="47"/>
        <v>20.370974314404297</v>
      </c>
      <c r="CP105" s="304">
        <f t="shared" si="47"/>
        <v>8.8569453540888237</v>
      </c>
      <c r="CQ105" s="304">
        <f t="shared" si="47"/>
        <v>15.942501637359886</v>
      </c>
      <c r="CR105" s="304">
        <f t="shared" si="47"/>
        <v>8856.945354088828</v>
      </c>
      <c r="CS105" s="305">
        <f t="shared" si="52"/>
        <v>0</v>
      </c>
      <c r="CV105" s="265"/>
      <c r="CW105" s="265" t="s">
        <v>669</v>
      </c>
      <c r="CX105" s="267">
        <f>INDEX($M$101:$Z$115,MATCH($CW105,$L$101:$L$115,0),MATCH(CX$102,$M$102:$Z$102,0))/INDEX(고양시_재차인원!$D$4:$H$35,MATCH("고양시",고양시_재차인원!$B$4:$B$35,0),MATCH($CX$101,고양시_재차인원!$D$4:$H$4,0))</f>
        <v>407.60244493994941</v>
      </c>
      <c r="CY105" s="267">
        <f>INDEX($M$101:$Z$115,MATCH($CW105,$L$101:$L$115,0),MATCH(CY$102,$M$102:$Z$102,0))/INDEX(고양시_재차인원!$K$4:$O$20,MATCH("경기도",고양시_재차인원!$K$4:$K$20,0),MATCH(CY$102,고양시_재차인원!$K$4:$O$4,0))</f>
        <v>3.3716164139666483E-3</v>
      </c>
      <c r="CZ105" s="267">
        <f>INDEX($M$101:$Z$115,MATCH($CW105,$L$101:$L$115,0),MATCH(CZ$102,$M$102:$Z$102,0))/INDEX(고양시_재차인원!$K$4:$O$20,MATCH("경기도",고양시_재차인원!$K$4:$K$20,0),MATCH(CZ$102,고양시_재차인원!$K$4:$O$4,0))</f>
        <v>0.93730936308272805</v>
      </c>
      <c r="DA105" s="267">
        <f>INDEX($M$101:$Z$115,MATCH($CW105,$L$101:$L$115,0),MATCH(DA$102,$M$102:$Z$102,0))/INDEX(고양시_재차인원!$D$4:$H$35,MATCH("고양시",고양시_재차인원!$B$4:$B$35,0),MATCH($CX$101,고양시_재차인원!$D$4:$H$4,0))</f>
        <v>26.17391842905905</v>
      </c>
      <c r="DB105" s="267">
        <f>INDEX($AA$101:$AN$115,MATCH($CW105,$L$101:$L$115,0),MATCH(DB$102,$AA$102:$AN$102,0))/INDEX(고양시_재차인원!$D$4:$H$35,MATCH("고양시",고양시_재차인원!$B$4:$B$35,0),MATCH($DB$101,고양시_재차인원!$D$4:$H$4,0))</f>
        <v>2517.6733924750047</v>
      </c>
      <c r="DC105" s="267">
        <f>INDEX($AA$101:$AN$115,MATCH($CW105,$L$101:$L$115,0),MATCH(DC$102,$AA$102:$AN$102,0))/INDEX(고양시_재차인원!$K$4:$O$20,MATCH("경기도",고양시_재차인원!$K$4:$K$20,0),MATCH(DC$102,고양시_재차인원!$K$4:$O$4,0))</f>
        <v>2.6218138853893902E-2</v>
      </c>
      <c r="DD105" s="267">
        <f>INDEX($AA$101:$AN$115,MATCH($CW105,$L$101:$L$115,0),MATCH(DD$102,$AA$102:$AN$102,0))/INDEX(고양시_재차인원!$K$4:$O$20,MATCH("경기도",고양시_재차인원!$K$4:$K$20,0),MATCH(DD$102,고양시_재차인원!$K$4:$O$4,0))</f>
        <v>7.2886426013825032</v>
      </c>
      <c r="DE105" s="267">
        <f>INDEX($AA$101:$AN$115,MATCH($CW105,$L$101:$L$115,0),MATCH(DE$102,$AA$102:$AN$102,0))/INDEX(고양시_재차인원!$D$4:$H$35,MATCH("고양시",고양시_재차인원!$B$4:$B$35,0),MATCH($DB$101,고양시_재차인원!$D$4:$H$4,0))</f>
        <v>161.67071327396371</v>
      </c>
      <c r="DF105" s="267">
        <f>INDEX($AO$101:$BB$115,MATCH($CW105,$L$101:$L$115,0),MATCH(DF$102,$AO$102:$BB$102,0))/INDEX(고양시_재차인원!$D$4:$H$35,MATCH("고양시",고양시_재차인원!$B$4:$B$35,0),MATCH($DF$101,고양시_재차인원!$D$4:$H$4,0))</f>
        <v>121.03956506060044</v>
      </c>
      <c r="DG105" s="267">
        <f>INDEX($AO$101:$BB$115,MATCH($CW105,$L$101:$L$115,0),MATCH(DG$102,$AO$102:$BB$102,0))/INDEX(고양시_재차인원!$K$4:$O$20,MATCH("경기도",고양시_재차인원!$K$4:$K$20,0),MATCH(DG$102,고양시_재차인원!$K$4:$O$4,0))</f>
        <v>1.162128262330767E-3</v>
      </c>
      <c r="DH105" s="267">
        <f>INDEX($AO$101:$BB$115,MATCH($CW105,$L$101:$L$115,0),MATCH(DH$102,$AO$102:$BB$102,0))/INDEX(고양시_재차인원!$K$4:$O$20,MATCH("경기도",고양시_재차인원!$K$4:$K$20,0),MATCH(DH$102,고양시_재차인원!$K$4:$O$4,0))</f>
        <v>0.3230716569279532</v>
      </c>
      <c r="DI105" s="267">
        <f>INDEX($AO$101:$BB$115,MATCH($CW105,$L$101:$L$115,0),MATCH(DI$102,$AO$102:$BB$102,0))/INDEX(고양시_재차인원!$D$4:$H$35,MATCH("고양시",고양시_재차인원!$B$4:$B$35,0),MATCH($DF$101,고양시_재차인원!$D$4:$H$4,0))</f>
        <v>7.7724747285352613</v>
      </c>
      <c r="DJ105" s="267">
        <f>INDEX($BC$101:$BP$115,MATCH($CW105,$L$101:$L$115,0),MATCH(DJ$102,$BC$102:$BP$102,0))/INDEX(고양시_재차인원!$D$4:$H$35,MATCH("고양시",고양시_재차인원!$B$4:$B$35,0),MATCH($DJ$101,고양시_재차인원!$D$4:$H$4,0))</f>
        <v>0.31376158440434665</v>
      </c>
      <c r="DK105" s="267">
        <f>INDEX($BC$101:$BP$115,MATCH($CW105,$L$101:$L$115,0),MATCH(DK$102,$BC$102:$BP$102,0))/INDEX(고양시_재차인원!$K$4:$O$20,MATCH("경기도",고양시_재차인원!$K$4:$K$20,0),MATCH(DK$102,고양시_재차인원!$K$4:$O$4,0))</f>
        <v>3.1515342707274893E-6</v>
      </c>
      <c r="DL105" s="267">
        <f>INDEX($BC$101:$BP$115,MATCH($CW105,$L$101:$L$115,0),MATCH(DL$102,$BC$102:$BP$102,0))/INDEX(고양시_재차인원!$K$4:$O$20,MATCH("경기도",고양시_재차인원!$K$4:$K$20,0),MATCH(DL$102,고양시_재차인원!$K$4:$O$4,0))</f>
        <v>8.7612652726224186E-4</v>
      </c>
      <c r="DM105" s="267">
        <f>INDEX($BC$101:$BP$115,MATCH($CW105,$L$101:$L$115,0),MATCH(DM$102,$BC$102:$BP$102,0))/INDEX(고양시_재차인원!$D$4:$H$35,MATCH("고양시",고양시_재차인원!$B$4:$B$35,0),MATCH($DJ$101,고양시_재차인원!$D$4:$H$4,0))</f>
        <v>2.0147990323221916E-2</v>
      </c>
      <c r="DN105" s="267">
        <f>INDEX($BQ$101:$CD$115,MATCH($CW105,$L$101:$L$115,0),MATCH(DN$102,$BQ$102:$CD$102,0))/INDEX(고양시_재차인원!$D$4:$H$35,MATCH("고양시",고양시_재차인원!$B$4:$B$35,0),MATCH($DN$101,고양시_재차인원!$D$4:$H$4,0))</f>
        <v>0.95954600944822099</v>
      </c>
      <c r="DO105" s="267">
        <f>INDEX($BQ$101:$CD$115,MATCH($CW105,$L$101:$L$115,0),MATCH(DO$102,$BQ$102:$CD$102,0))/INDEX(고양시_재차인원!$K$4:$O$20,MATCH("경기도",고양시_재차인원!$K$4:$K$20,0),MATCH(DO$102,고양시_재차인원!$K$4:$O$4,0))</f>
        <v>8.9293471003946203E-6</v>
      </c>
      <c r="DP105" s="267">
        <f>INDEX($BQ$101:$CD$115,MATCH($CW105,$L$101:$L$115,0),MATCH(DP$102,$BQ$102:$CD$102,0))/INDEX(고양시_재차인원!$K$4:$O$20,MATCH("경기도",고양시_재차인원!$K$4:$K$20,0),MATCH(DP$102,고양시_재차인원!$K$4:$O$4,0))</f>
        <v>2.4823584939097044E-3</v>
      </c>
      <c r="DQ105" s="267">
        <f>INDEX($BQ$101:$CD$115,MATCH($CW105,$L$101:$L$115,0),MATCH(DQ$102,$BQ$102:$CD$102,0))/INDEX(고양시_재차인원!$D$4:$H$35,MATCH("고양시",고양시_재차인원!$B$4:$B$35,0),MATCH($DN$101,고양시_재차인원!$D$4:$H$4,0))</f>
        <v>6.1616605327102426E-2</v>
      </c>
      <c r="DR105" s="270">
        <f t="shared" si="53"/>
        <v>3047.5887100694072</v>
      </c>
      <c r="DS105" s="270">
        <f t="shared" si="48"/>
        <v>3.0763964411562438E-2</v>
      </c>
      <c r="DT105" s="270">
        <f t="shared" si="48"/>
        <v>8.5523821064143544</v>
      </c>
      <c r="DU105" s="270">
        <f t="shared" si="48"/>
        <v>195.69887102720833</v>
      </c>
      <c r="DW105" s="278"/>
      <c r="DX105" s="278" t="s">
        <v>669</v>
      </c>
      <c r="DY105" s="281">
        <f t="shared" si="54"/>
        <v>3243.2875810966157</v>
      </c>
      <c r="DZ105" s="281">
        <f t="shared" si="55"/>
        <v>8.5831460708259169</v>
      </c>
      <c r="EB105" s="278"/>
      <c r="EC105" s="278" t="s">
        <v>669</v>
      </c>
      <c r="ED105" s="281">
        <f t="shared" si="56"/>
        <v>3243.2875810966157</v>
      </c>
      <c r="EE105" s="281">
        <f t="shared" si="49"/>
        <v>8.5831460708259169</v>
      </c>
      <c r="EL105" s="306" t="s">
        <v>12</v>
      </c>
      <c r="EM105" s="306" t="s">
        <v>359</v>
      </c>
      <c r="EN105" s="306">
        <v>5055.2204000000002</v>
      </c>
      <c r="EO105" s="306">
        <v>7.5479196375319413E-2</v>
      </c>
      <c r="EP105" s="307">
        <v>849103</v>
      </c>
      <c r="EQ105" s="308">
        <f t="shared" si="57"/>
        <v>14.954589632707794</v>
      </c>
      <c r="ER105" s="308">
        <f t="shared" si="58"/>
        <v>3.9576332359460377E-2</v>
      </c>
      <c r="ET105" s="420" t="s">
        <v>12</v>
      </c>
      <c r="EU105" s="420" t="s">
        <v>359</v>
      </c>
      <c r="EV105" s="420">
        <v>5055.2204000000002</v>
      </c>
      <c r="EW105" s="420">
        <v>7.5479196375319413E-2</v>
      </c>
      <c r="EX105" s="421">
        <v>849103</v>
      </c>
      <c r="EY105" s="422">
        <f t="shared" si="59"/>
        <v>14.528383828175622</v>
      </c>
      <c r="EZ105" s="422">
        <f t="shared" si="60"/>
        <v>3.8448406887215757E-2</v>
      </c>
      <c r="FA105">
        <v>0</v>
      </c>
      <c r="FD105" s="306" t="s">
        <v>12</v>
      </c>
      <c r="FE105" s="306" t="s">
        <v>359</v>
      </c>
      <c r="FF105" s="306">
        <v>5055.2204000000002</v>
      </c>
      <c r="FG105" s="306">
        <v>7.5479196375319413E-2</v>
      </c>
      <c r="FH105" s="307">
        <v>849103</v>
      </c>
      <c r="FI105" s="308">
        <f t="shared" si="61"/>
        <v>14.528383828175622</v>
      </c>
      <c r="FJ105" s="308">
        <f t="shared" si="50"/>
        <v>3.8448406887215757E-2</v>
      </c>
      <c r="FL105" s="101"/>
      <c r="FM105" s="101"/>
      <c r="FN105" s="101"/>
      <c r="FO105" s="101"/>
      <c r="FP105" s="374"/>
      <c r="FQ105" s="404"/>
      <c r="FR105" s="404"/>
    </row>
    <row r="106" spans="1:174" ht="25">
      <c r="A106" s="205"/>
      <c r="B106" s="205" t="s">
        <v>671</v>
      </c>
      <c r="C106" s="400">
        <f>$AB64*KTDB_TripDistribution_2040!L$12 * (1+KTDB_발생량도착량_증가율!$C$8*2) * (1+KTDB_발생량도착량_증가율!$D$7*5) * (1+KTDB_발생량도착량_증가율!$E$7*5) * (1+KTDB_발생량도착량_증가율!$F$7*5)</f>
        <v>156.08891425904187</v>
      </c>
      <c r="D106" s="400">
        <f>$AB64*KTDB_TripDistribution_2040!M$12 * (1+KTDB_발생량도착량_증가율!$C$8*2) * (1+KTDB_발생량도착량_증가율!$D$7*5) * (1+KTDB_발생량도착량_증가율!$E$7*5) * (1+KTDB_발생량도착량_증가율!$F$7*5)</f>
        <v>1213.7682123757688</v>
      </c>
      <c r="E106" s="400">
        <f>$AB64*KTDB_TripDistribution_2040!N$12 * (1+KTDB_발생량도착량_증가율!$C$8*2) * (1+KTDB_발생량도착량_증가율!$D$7*5) * (1+KTDB_발생량도착량_증가율!$E$7*5) * (1+KTDB_발생량도착량_증가율!$F$7*5)</f>
        <v>53.800704595440017</v>
      </c>
      <c r="F106" s="400">
        <f>$AB64*KTDB_TripDistribution_2040!O$12 * (1+KTDB_발생량도착량_증가율!$C$8*2) * (1+KTDB_발생량도착량_증가율!$D$7*5) * (1+KTDB_발생량도착량_증가율!$E$7*5) * (1+KTDB_발생량도착량_증가율!$F$7*5)</f>
        <v>0.14590021585203999</v>
      </c>
      <c r="G106" s="400">
        <f>$AB64*KTDB_TripDistribution_2040!P$12 * (1+KTDB_발생량도착량_증가율!$C$8*2) * (1+KTDB_발생량도착량_증가율!$D$7*5) * (1+KTDB_발생량도착량_증가율!$E$7*5) * (1+KTDB_발생량도착량_증가율!$F$7*5)</f>
        <v>0.41338394491411656</v>
      </c>
      <c r="H106" s="400">
        <f>$AB64*KTDB_TripDistribution_2040!Q$12 * (1+KTDB_발생량도착량_증가율!$C$8*2) * (1+KTDB_발생량도착량_증가율!$D$7*5) * (1+KTDB_발생량도착량_증가율!$E$7*5) * (1+KTDB_발생량도착량_증가율!$F$7*5)</f>
        <v>1424.2171153910169</v>
      </c>
      <c r="J106" s="230">
        <f t="shared" si="46"/>
        <v>1424.2171153910169</v>
      </c>
      <c r="K106" s="206"/>
      <c r="L106" s="206" t="s">
        <v>671</v>
      </c>
      <c r="M106" s="206">
        <f>INDEX($A$102:$H$115,MATCH($L106,$B$102:$B$115,0),MATCH($M$101,$A$102:$H$102,0))*고양시_Modal_split!C$3 * 0.01</f>
        <v>0.43704895992531717</v>
      </c>
      <c r="N106" s="206">
        <f>INDEX($A$102:$H$115,MATCH($L106,$B$102:$B$115,0),MATCH($M$101,$A$102:$H$102,0))*고양시_Modal_split!D$3 * 0.01</f>
        <v>73.408616376027396</v>
      </c>
      <c r="O106" s="206">
        <f>INDEX($A$102:$H$115,MATCH($L106,$B$102:$B$115,0),MATCH($M$101,$A$102:$H$102,0))*고양시_Modal_split!E$3 * 0.01</f>
        <v>8.8814592213394814</v>
      </c>
      <c r="P106" s="206">
        <f>INDEX($A$102:$H$115,MATCH($L106,$B$102:$B$115,0),MATCH($M$101,$A$102:$H$102,0))*고양시_Modal_split!F$3 * 0.01</f>
        <v>14.31335343755414</v>
      </c>
      <c r="Q106" s="206">
        <f>INDEX($A$102:$H$115,MATCH($L106,$B$102:$B$115,0),MATCH($M$101,$A$102:$H$102,0))*고양시_Modal_split!G$3 * 0.01</f>
        <v>1.4360180111831853</v>
      </c>
      <c r="R106" s="206">
        <f>INDEX($A$102:$H$115,MATCH($L106,$B$102:$B$115,0),MATCH($M$101,$A$102:$H$102,0))*고양시_Modal_split!H$3 * 0.01</f>
        <v>1.5608891425904188E-2</v>
      </c>
      <c r="S106" s="206">
        <f>INDEX($A$102:$H$115,MATCH($L106,$B$102:$B$115,0),MATCH($M$101,$A$102:$H$102,0))*고양시_Modal_split!I$3 * 0.01</f>
        <v>4.3392718164013635</v>
      </c>
      <c r="T106" s="206">
        <f>INDEX($A$102:$H$115,MATCH($L106,$B$102:$B$115,0),MATCH($M$101,$A$102:$H$102,0))*고양시_Modal_split!J$3 * 0.01</f>
        <v>47.513465500452348</v>
      </c>
      <c r="U106" s="206">
        <f>INDEX($A$102:$H$115,MATCH($L106,$B$102:$B$115,0),MATCH($M$101,$A$102:$H$102,0))*고양시_Modal_split!K$3 * 0.01</f>
        <v>0.23413337138856283</v>
      </c>
      <c r="V106" s="206">
        <f>INDEX($A$102:$H$115,MATCH($L106,$B$102:$B$115,0),MATCH($M$101,$A$102:$H$102,0))*고양시_Modal_split!L$3 * 0.01</f>
        <v>4.7138852106230642</v>
      </c>
      <c r="W106" s="206">
        <f>INDEX($A$102:$H$115,MATCH($L106,$B$102:$B$115,0),MATCH($M$101,$A$102:$H$102,0))*고양시_Modal_split!M$3 * 0.01</f>
        <v>0.35900450279579632</v>
      </c>
      <c r="X106" s="206">
        <f>INDEX($A$102:$H$115,MATCH($L106,$B$102:$B$115,0),MATCH($M$101,$A$102:$H$102,0))*고양시_Modal_split!N$3 * 0.01</f>
        <v>0.15608891425904189</v>
      </c>
      <c r="Y106" s="206">
        <f>INDEX($A$102:$H$115,MATCH($L106,$B$102:$B$115,0),MATCH($M$101,$A$102:$H$102,0))*고양시_Modal_split!O$3 * 0.01</f>
        <v>0.28096004566627536</v>
      </c>
      <c r="Z106" s="209">
        <f>INDEX($A$102:$H$115,MATCH($L106,$B$102:$B$115,0),MATCH($M$101,$A$102:$H$102,0))*고양시_Modal_split!P$3 * 0.01</f>
        <v>156.08891425904187</v>
      </c>
      <c r="AA106" s="207">
        <f>INDEX($A$102:$H$115,MATCH($L106,$B$102:$B$115,0),MATCH($AA$101,$A$102:$H$102,0))*고양시_Modal_split!C$3 * 0.01</f>
        <v>3.3985509946521524</v>
      </c>
      <c r="AB106" s="207">
        <f>INDEX($A$102:$H$115,MATCH($L106,$B$102:$B$115,0),MATCH($AA$101,$A$102:$H$102,0))*고양시_Modal_split!D$3 * 0.01</f>
        <v>570.83519028032413</v>
      </c>
      <c r="AC106" s="207">
        <f>INDEX($A$102:$H$115,MATCH($L106,$B$102:$B$115,0),MATCH($AA$101,$A$102:$H$102,0))*고양시_Modal_split!E$3 * 0.01</f>
        <v>69.063411284181242</v>
      </c>
      <c r="AD106" s="207">
        <f>INDEX($A$102:$H$115,MATCH($L106,$B$102:$B$115,0),MATCH($AA$101,$A$102:$H$102,0))*고양시_Modal_split!F$3 * 0.01</f>
        <v>111.30254507485802</v>
      </c>
      <c r="AE106" s="207">
        <f>INDEX($A$102:$H$115,MATCH($L106,$B$102:$B$115,0),MATCH($AA$101,$A$102:$H$102,0))*고양시_Modal_split!G$3 * 0.01</f>
        <v>11.166667553857074</v>
      </c>
      <c r="AF106" s="207">
        <f>INDEX($A$102:$H$115,MATCH($L106,$B$102:$B$115,0),MATCH($AA$101,$A$102:$H$102,0))*고양시_Modal_split!H$3 * 0.01</f>
        <v>0.12137682123757688</v>
      </c>
      <c r="AG106" s="207">
        <f>INDEX($A$102:$H$115,MATCH($L106,$B$102:$B$115,0),MATCH($AA$101,$A$102:$H$102,0))*고양시_Modal_split!I$3 * 0.01</f>
        <v>33.742756304046374</v>
      </c>
      <c r="AH106" s="207">
        <f>INDEX($A$102:$H$115,MATCH($L106,$B$102:$B$115,0),MATCH($AA$101,$A$102:$H$102,0))*고양시_Modal_split!J$3 * 0.01</f>
        <v>369.47104384718403</v>
      </c>
      <c r="AI106" s="207">
        <f>INDEX($A$102:$H$115,MATCH($L106,$B$102:$B$115,0),MATCH($AA$101,$A$102:$H$102,0))*고양시_Modal_split!K$3 * 0.01</f>
        <v>1.8206523185636534</v>
      </c>
      <c r="AJ106" s="207">
        <f>INDEX($A$102:$H$115,MATCH($L106,$B$102:$B$115,0),MATCH($AA$101,$A$102:$H$102,0))*고양시_Modal_split!L$3 * 0.01</f>
        <v>36.65580001374822</v>
      </c>
      <c r="AK106" s="207">
        <f>INDEX($A$102:$H$115,MATCH($L106,$B$102:$B$115,0),MATCH($AA$101,$A$102:$H$102,0))*고양시_Modal_split!M$3 * 0.01</f>
        <v>2.7916668884642686</v>
      </c>
      <c r="AL106" s="207">
        <f>INDEX($A$102:$H$115,MATCH($L106,$B$102:$B$115,0),MATCH($AA$101,$A$102:$H$102,0))*고양시_Modal_split!N$3 * 0.01</f>
        <v>1.2137682123757689</v>
      </c>
      <c r="AM106" s="207">
        <f>INDEX($A$102:$H$115,MATCH($L106,$B$102:$B$115,0),MATCH($AA$101,$A$102:$H$102,0))*고양시_Modal_split!O$3 * 0.01</f>
        <v>2.1847827822763839</v>
      </c>
      <c r="AN106" s="207">
        <f>INDEX($A$102:$H$115,MATCH($L106,$B$102:$B$115,0),MATCH($AA$101,$A$102:$H$102,0))*고양시_Modal_split!P$3 * 0.01</f>
        <v>1213.7682123757688</v>
      </c>
      <c r="AO106" s="303">
        <f>INDEX($A$102:$H$115,MATCH($L106,$B$102:$B$115,0),MATCH($AO$101,$A$102:$H$102,0))*고양시_Modal_split!C$3 * 0.01</f>
        <v>0.15064197286723205</v>
      </c>
      <c r="AP106" s="303">
        <f>INDEX($A$102:$H$115,MATCH($L106,$B$102:$B$115,0),MATCH($AO$101,$A$102:$H$102,0))*고양시_Modal_split!D$3 * 0.01</f>
        <v>25.302471371235441</v>
      </c>
      <c r="AQ106" s="303">
        <f>INDEX($A$102:$H$115,MATCH($L106,$B$102:$B$115,0),MATCH($AO$101,$A$102:$H$102,0))*고양시_Modal_split!E$3 * 0.01</f>
        <v>3.0612600914805372</v>
      </c>
      <c r="AR106" s="303">
        <f>INDEX($A$102:$H$115,MATCH($L106,$B$102:$B$115,0),MATCH($AO$101,$A$102:$H$102,0))*고양시_Modal_split!F$3 * 0.01</f>
        <v>4.9335246114018494</v>
      </c>
      <c r="AS106" s="303">
        <f>INDEX($A$102:$H$115,MATCH($L106,$B$102:$B$115,0),MATCH($AO$101,$A$102:$H$102,0))*고양시_Modal_split!G$3 * 0.01</f>
        <v>0.49496648227804813</v>
      </c>
      <c r="AT106" s="303">
        <f>INDEX($A$102:$H$115,MATCH($L106,$B$102:$B$115,0),MATCH($AO$101,$A$102:$H$102,0))*고양시_Modal_split!H$3 * 0.01</f>
        <v>5.3800704595440016E-3</v>
      </c>
      <c r="AU106" s="303">
        <f>INDEX($A$102:$H$115,MATCH($L106,$B$102:$B$115,0),MATCH($AO$101,$A$102:$H$102,0))*고양시_Modal_split!I$3 * 0.01</f>
        <v>1.4956595877532324</v>
      </c>
      <c r="AV106" s="303">
        <f>INDEX($A$102:$H$115,MATCH($L106,$B$102:$B$115,0),MATCH($AO$101,$A$102:$H$102,0))*고양시_Modal_split!J$3 * 0.01</f>
        <v>16.376934478851943</v>
      </c>
      <c r="AW106" s="303">
        <f>INDEX($A$102:$H$115,MATCH($L106,$B$102:$B$115,0),MATCH($AO$101,$A$102:$H$102,0))*고양시_Modal_split!K$3 * 0.01</f>
        <v>8.0701056893160011E-2</v>
      </c>
      <c r="AX106" s="303">
        <f>INDEX($A$102:$H$115,MATCH($L106,$B$102:$B$115,0),MATCH($AO$101,$A$102:$H$102,0))*고양시_Modal_split!L$3 * 0.01</f>
        <v>1.6247812787822886</v>
      </c>
      <c r="AY106" s="303">
        <f>INDEX($A$102:$H$115,MATCH($L106,$B$102:$B$115,0),MATCH($AO$101,$A$102:$H$102,0))*고양시_Modal_split!M$3 * 0.01</f>
        <v>0.12374162056951203</v>
      </c>
      <c r="AZ106" s="303">
        <f>INDEX($A$102:$H$115,MATCH($L106,$B$102:$B$115,0),MATCH($AO$101,$A$102:$H$102,0))*고양시_Modal_split!N$3 * 0.01</f>
        <v>5.3800704595440021E-2</v>
      </c>
      <c r="BA106" s="207">
        <f>INDEX($A$102:$H$115,MATCH($L106,$B$102:$B$115,0),MATCH($AO$101,$A$102:$H$102,0))*고양시_Modal_split!O$3 * 0.01</f>
        <v>9.6841268271792028E-2</v>
      </c>
      <c r="BB106" s="207">
        <f>INDEX($A$102:$H$115,MATCH($L106,$B$102:$B$115,0),MATCH($AO$101,$A$102:$H$102,0))*고양시_Modal_split!P$3 * 0.01</f>
        <v>53.800704595440024</v>
      </c>
      <c r="BC106" s="207">
        <f>INDEX($A$102:$H$115,MATCH($L106,$B$102:$B$115,0),MATCH($BC$101,$A$102:$H$102,0))*고양시_Modal_split!C$3 * 0.01</f>
        <v>4.0852060438571194E-4</v>
      </c>
      <c r="BD106" s="207">
        <f>INDEX($A$102:$H$115,MATCH($L106,$B$102:$B$115,0),MATCH($BC$101,$A$102:$H$102,0))*고양시_Modal_split!D$3 * 0.01</f>
        <v>6.8616871515214423E-2</v>
      </c>
      <c r="BE106" s="207">
        <f>INDEX($A$102:$H$115,MATCH($L106,$B$102:$B$115,0),MATCH($BC$101,$A$102:$H$102,0))*고양시_Modal_split!E$3 * 0.01</f>
        <v>8.3017222819810749E-3</v>
      </c>
      <c r="BF106" s="207">
        <f>INDEX($A$102:$H$115,MATCH($L106,$B$102:$B$115,0),MATCH($BC$101,$A$102:$H$102,0))*고양시_Modal_split!F$3 * 0.01</f>
        <v>1.3379049793632067E-2</v>
      </c>
      <c r="BG106" s="207">
        <f>INDEX($A$102:$H$115,MATCH($L106,$B$102:$B$115,0),MATCH($BC$101,$A$102:$H$102,0))*고양시_Modal_split!G$3 * 0.01</f>
        <v>1.3422819858387677E-3</v>
      </c>
      <c r="BH106" s="207">
        <f>INDEX($A$102:$H$115,MATCH($L106,$B$102:$B$115,0),MATCH($BC$101,$A$102:$H$102,0))*고양시_Modal_split!H$3 * 0.01</f>
        <v>1.4590021585203999E-5</v>
      </c>
      <c r="BI106" s="207">
        <f>INDEX($A$102:$H$115,MATCH($L106,$B$102:$B$115,0),MATCH($BC$101,$A$102:$H$102,0))*고양시_Modal_split!I$3 * 0.01</f>
        <v>4.0560260006867119E-3</v>
      </c>
      <c r="BJ106" s="207">
        <f>INDEX($A$102:$H$115,MATCH($L106,$B$102:$B$115,0),MATCH($BC$101,$A$102:$H$102,0))*고양시_Modal_split!J$3 * 0.01</f>
        <v>4.4412025705360979E-2</v>
      </c>
      <c r="BK106" s="207">
        <f>INDEX($A$102:$H$115,MATCH($L106,$B$102:$B$115,0),MATCH($BC$101,$A$102:$H$102,0))*고양시_Modal_split!K$3 * 0.01</f>
        <v>2.1885032377805998E-4</v>
      </c>
      <c r="BL106" s="207">
        <f>INDEX($A$102:$H$115,MATCH($L106,$B$102:$B$115,0),MATCH($BC$101,$A$102:$H$102,0))*고양시_Modal_split!L$3 * 0.01</f>
        <v>4.4061865187316083E-3</v>
      </c>
      <c r="BM106" s="207">
        <f>INDEX($A$102:$H$115,MATCH($L106,$B$102:$B$115,0),MATCH($BC$101,$A$102:$H$102,0))*고양시_Modal_split!M$3 * 0.01</f>
        <v>3.3557049645969192E-4</v>
      </c>
      <c r="BN106" s="207">
        <f>INDEX($A$102:$H$115,MATCH($L106,$B$102:$B$115,0),MATCH($BC$101,$A$102:$H$102,0))*고양시_Modal_split!N$3 * 0.01</f>
        <v>1.4590021585204001E-4</v>
      </c>
      <c r="BO106" s="207">
        <f>INDEX($A$102:$H$115,MATCH($L106,$B$102:$B$115,0),MATCH($BC$101,$A$102:$H$102,0))*고양시_Modal_split!O$3 * 0.01</f>
        <v>2.6262038853367201E-4</v>
      </c>
      <c r="BP106" s="207">
        <f>INDEX($A$102:$H$115,MATCH($L106,$B$102:$B$115,0),MATCH($BC$101,$A$102:$H$102,0))*고양시_Modal_split!P$3 * 0.01</f>
        <v>0.14590021585203999</v>
      </c>
      <c r="BQ106" s="207">
        <f>INDEX($A$102:$H$115,MATCH($L106,$B$102:$B$115,0),MATCH($BQ$101,$A$102:$H$102,0))*고양시_Modal_split!C$3 * 0.01</f>
        <v>1.1574750457595262E-3</v>
      </c>
      <c r="BR106" s="207">
        <f>INDEX($A$102:$H$115,MATCH($L106,$B$102:$B$115,0),MATCH($BQ$101,$A$102:$H$102,0))*고양시_Modal_split!D$3 * 0.01</f>
        <v>0.19441446929310904</v>
      </c>
      <c r="BS106" s="207">
        <f>INDEX($A$102:$H$115,MATCH($L106,$B$102:$B$115,0),MATCH($BQ$101,$A$102:$H$102,0))*고양시_Modal_split!E$3 * 0.01</f>
        <v>2.3521546465613233E-2</v>
      </c>
      <c r="BT106" s="207">
        <f>INDEX($A$102:$H$115,MATCH($L106,$B$102:$B$115,0),MATCH($BQ$101,$A$102:$H$102,0))*고양시_Modal_split!F$3 * 0.01</f>
        <v>3.790730774862449E-2</v>
      </c>
      <c r="BU106" s="207">
        <f>INDEX($A$102:$H$115,MATCH($L106,$B$102:$B$115,0),MATCH($BQ$101,$A$102:$H$102,0))*고양시_Modal_split!G$3 * 0.01</f>
        <v>3.803132293209872E-3</v>
      </c>
      <c r="BV106" s="207">
        <f>INDEX($A$102:$H$115,MATCH($L106,$B$102:$B$115,0),MATCH($BQ$101,$A$102:$H$102,0))*고양시_Modal_split!H$3 * 0.01</f>
        <v>4.1338394491411654E-5</v>
      </c>
      <c r="BW106" s="207">
        <f>INDEX($A$102:$H$115,MATCH($L106,$B$102:$B$115,0),MATCH($BQ$101,$A$102:$H$102,0))*고양시_Modal_split!I$3 * 0.01</f>
        <v>1.149207366861244E-2</v>
      </c>
      <c r="BX106" s="207">
        <f>INDEX($A$102:$H$115,MATCH($L106,$B$102:$B$115,0),MATCH($BQ$101,$A$102:$H$102,0))*고양시_Modal_split!J$3 * 0.01</f>
        <v>0.1258340728318571</v>
      </c>
      <c r="BY106" s="207">
        <f>INDEX($A$102:$H$115,MATCH($L106,$B$102:$B$115,0),MATCH($BQ$101,$A$102:$H$102,0))*고양시_Modal_split!K$3 * 0.01</f>
        <v>6.2007591737117478E-4</v>
      </c>
      <c r="BZ106" s="207">
        <f>INDEX($A$102:$H$115,MATCH($L106,$B$102:$B$115,0),MATCH($BQ$101,$A$102:$H$102,0))*고양시_Modal_split!L$3 * 0.01</f>
        <v>1.248419513640632E-2</v>
      </c>
      <c r="CA106" s="207">
        <f>INDEX($A$102:$H$115,MATCH($L106,$B$102:$B$115,0),MATCH($BQ$101,$A$102:$H$102,0))*고양시_Modal_split!M$3 * 0.01</f>
        <v>9.5078307330246801E-4</v>
      </c>
      <c r="CB106" s="207">
        <f>INDEX($A$102:$H$115,MATCH($L106,$B$102:$B$115,0),MATCH($BQ$101,$A$102:$H$102,0))*고양시_Modal_split!N$3 * 0.01</f>
        <v>4.1338394491411665E-4</v>
      </c>
      <c r="CC106" s="207">
        <f>INDEX($A$102:$H$115,MATCH($L106,$B$102:$B$115,0),MATCH($BQ$101,$A$102:$H$102,0))*고양시_Modal_split!O$3 * 0.01</f>
        <v>7.4409110084540972E-4</v>
      </c>
      <c r="CD106" s="207">
        <f>INDEX($A$102:$H$115,MATCH($L106,$B$102:$B$115,0),MATCH($BQ$101,$A$102:$H$102,0))*고양시_Modal_split!P$3 * 0.01</f>
        <v>0.41338394491411656</v>
      </c>
      <c r="CE106" s="304">
        <f t="shared" si="51"/>
        <v>3.9878079230948469</v>
      </c>
      <c r="CF106" s="304">
        <f t="shared" si="47"/>
        <v>669.80930936839536</v>
      </c>
      <c r="CG106" s="304">
        <f t="shared" si="47"/>
        <v>81.037953865748861</v>
      </c>
      <c r="CH106" s="304">
        <f t="shared" si="47"/>
        <v>130.60070948135623</v>
      </c>
      <c r="CI106" s="304">
        <f t="shared" si="47"/>
        <v>13.102797461597357</v>
      </c>
      <c r="CJ106" s="304">
        <f t="shared" si="47"/>
        <v>0.14242171153910171</v>
      </c>
      <c r="CK106" s="304">
        <f t="shared" si="47"/>
        <v>39.593235807870272</v>
      </c>
      <c r="CL106" s="304">
        <f t="shared" si="47"/>
        <v>433.53168992502555</v>
      </c>
      <c r="CM106" s="304">
        <f t="shared" si="47"/>
        <v>2.136325673086525</v>
      </c>
      <c r="CN106" s="304">
        <f t="shared" si="47"/>
        <v>43.011356884808706</v>
      </c>
      <c r="CO106" s="304">
        <f t="shared" si="47"/>
        <v>3.2756993653993391</v>
      </c>
      <c r="CP106" s="304">
        <f t="shared" si="47"/>
        <v>1.424217115391017</v>
      </c>
      <c r="CQ106" s="304">
        <f t="shared" si="47"/>
        <v>2.5635908077038305</v>
      </c>
      <c r="CR106" s="304">
        <f t="shared" si="47"/>
        <v>1424.2171153910169</v>
      </c>
      <c r="CS106" s="305">
        <f t="shared" si="52"/>
        <v>0</v>
      </c>
      <c r="CV106" s="265"/>
      <c r="CW106" s="265" t="s">
        <v>671</v>
      </c>
      <c r="CX106" s="267">
        <f>INDEX($M$101:$Z$115,MATCH($CW106,$L$101:$L$115,0),MATCH(CX$102,$M$102:$Z$102,0))/INDEX(고양시_재차인원!$D$4:$H$35,MATCH("고양시",고양시_재차인원!$B$4:$B$35,0),MATCH($CX$101,고양시_재차인원!$D$4:$H$4,0))</f>
        <v>65.543407478595881</v>
      </c>
      <c r="CY106" s="267">
        <f>INDEX($M$101:$Z$115,MATCH($CW106,$L$101:$L$115,0),MATCH(CY$102,$M$102:$Z$102,0))/INDEX(고양시_재차인원!$K$4:$O$20,MATCH("경기도",고양시_재차인원!$K$4:$K$20,0),MATCH(CY$102,고양시_재차인원!$K$4:$O$4,0))</f>
        <v>5.4216364799945078E-4</v>
      </c>
      <c r="CZ106" s="267">
        <f>INDEX($M$101:$Z$115,MATCH($CW106,$L$101:$L$115,0),MATCH(CZ$102,$M$102:$Z$102,0))/INDEX(고양시_재차인원!$K$4:$O$20,MATCH("경기도",고양시_재차인원!$K$4:$K$20,0),MATCH(CZ$102,고양시_재차인원!$K$4:$O$4,0))</f>
        <v>0.15072149414384731</v>
      </c>
      <c r="DA106" s="267">
        <f>INDEX($M$101:$Z$115,MATCH($CW106,$L$101:$L$115,0),MATCH(DA$102,$M$102:$Z$102,0))/INDEX(고양시_재차인원!$D$4:$H$35,MATCH("고양시",고양시_재차인원!$B$4:$B$35,0),MATCH($CX$101,고양시_재차인원!$D$4:$H$4,0))</f>
        <v>4.2088260809134495</v>
      </c>
      <c r="DB106" s="267">
        <f>INDEX($AA$101:$AN$115,MATCH($CW106,$L$101:$L$115,0),MATCH(DB$102,$AA$102:$AN$102,0))/INDEX(고양시_재차인원!$D$4:$H$35,MATCH("고양시",고양시_재차인원!$B$4:$B$35,0),MATCH($DB$101,고양시_재차인원!$D$4:$H$4,0))</f>
        <v>404.84765268108094</v>
      </c>
      <c r="DC106" s="267">
        <f>INDEX($AA$101:$AN$115,MATCH($CW106,$L$101:$L$115,0),MATCH(DC$102,$AA$102:$AN$102,0))/INDEX(고양시_재차인원!$K$4:$O$20,MATCH("경기도",고양시_재차인원!$K$4:$K$20,0),MATCH(DC$102,고양시_재차인원!$K$4:$O$4,0))</f>
        <v>4.2159368265917638E-3</v>
      </c>
      <c r="DD106" s="267">
        <f>INDEX($AA$101:$AN$115,MATCH($CW106,$L$101:$L$115,0),MATCH(DD$102,$AA$102:$AN$102,0))/INDEX(고양시_재차인원!$K$4:$O$20,MATCH("경기도",고양시_재차인원!$K$4:$K$20,0),MATCH(DD$102,고양시_재차인원!$K$4:$O$4,0))</f>
        <v>1.1720304377925104</v>
      </c>
      <c r="DE106" s="267">
        <f>INDEX($AA$101:$AN$115,MATCH($CW106,$L$101:$L$115,0),MATCH(DE$102,$AA$102:$AN$102,0))/INDEX(고양시_재차인원!$D$4:$H$35,MATCH("고양시",고양시_재차인원!$B$4:$B$35,0),MATCH($DB$101,고양시_재차인원!$D$4:$H$4,0))</f>
        <v>25.997021286346257</v>
      </c>
      <c r="DF106" s="267">
        <f>INDEX($AO$101:$BB$115,MATCH($CW106,$L$101:$L$115,0),MATCH(DF$102,$AO$102:$BB$102,0))/INDEX(고양시_재차인원!$D$4:$H$35,MATCH("고양시",고양시_재차인원!$B$4:$B$35,0),MATCH($DF$101,고양시_재차인원!$D$4:$H$4,0))</f>
        <v>19.463439516334955</v>
      </c>
      <c r="DG106" s="267">
        <f>INDEX($AO$101:$BB$115,MATCH($CW106,$L$101:$L$115,0),MATCH(DG$102,$AO$102:$BB$102,0))/INDEX(고양시_재차인원!$K$4:$O$20,MATCH("경기도",고양시_재차인원!$K$4:$K$20,0),MATCH(DG$102,고양시_재차인원!$K$4:$O$4,0))</f>
        <v>1.8687288848711364E-4</v>
      </c>
      <c r="DH106" s="267">
        <f>INDEX($AO$101:$BB$115,MATCH($CW106,$L$101:$L$115,0),MATCH(DH$102,$AO$102:$BB$102,0))/INDEX(고양시_재차인원!$K$4:$O$20,MATCH("경기도",고양시_재차인원!$K$4:$K$20,0),MATCH(DH$102,고양시_재차인원!$K$4:$O$4,0))</f>
        <v>5.1950662999417592E-2</v>
      </c>
      <c r="DI106" s="267">
        <f>INDEX($AO$101:$BB$115,MATCH($CW106,$L$101:$L$115,0),MATCH(DI$102,$AO$102:$BB$102,0))/INDEX(고양시_재차인원!$D$4:$H$35,MATCH("고양시",고양시_재차인원!$B$4:$B$35,0),MATCH($DF$101,고양시_재차인원!$D$4:$H$4,0))</f>
        <v>1.2498317529094527</v>
      </c>
      <c r="DJ106" s="267">
        <f>INDEX($BC$101:$BP$115,MATCH($CW106,$L$101:$L$115,0),MATCH(DJ$102,$BC$102:$BP$102,0))/INDEX(고양시_재차인원!$D$4:$H$35,MATCH("고양시",고양시_재차인원!$B$4:$B$35,0),MATCH($DJ$101,고양시_재차인원!$D$4:$H$4,0))</f>
        <v>5.0453581996481187E-2</v>
      </c>
      <c r="DK106" s="267">
        <f>INDEX($BC$101:$BP$115,MATCH($CW106,$L$101:$L$115,0),MATCH(DK$102,$BC$102:$BP$102,0))/INDEX(고양시_재차인원!$K$4:$O$20,MATCH("경기도",고양시_재차인원!$K$4:$K$20,0),MATCH(DK$102,고양시_재차인원!$K$4:$O$4,0))</f>
        <v>5.0677393488030563E-7</v>
      </c>
      <c r="DL106" s="267">
        <f>INDEX($BC$101:$BP$115,MATCH($CW106,$L$101:$L$115,0),MATCH(DL$102,$BC$102:$BP$102,0))/INDEX(고양시_재차인원!$K$4:$O$20,MATCH("경기도",고양시_재차인원!$K$4:$K$20,0),MATCH(DL$102,고양시_재차인원!$K$4:$O$4,0))</f>
        <v>1.4088315389672497E-4</v>
      </c>
      <c r="DM106" s="267">
        <f>INDEX($BC$101:$BP$115,MATCH($CW106,$L$101:$L$115,0),MATCH(DM$102,$BC$102:$BP$102,0))/INDEX(고양시_재차인원!$D$4:$H$35,MATCH("고양시",고양시_재차인원!$B$4:$B$35,0),MATCH($DJ$101,고양시_재차인원!$D$4:$H$4,0))</f>
        <v>3.2398430284791236E-3</v>
      </c>
      <c r="DN106" s="267">
        <f>INDEX($BQ$101:$CD$115,MATCH($CW106,$L$101:$L$115,0),MATCH(DN$102,$BQ$102:$CD$102,0))/INDEX(고양시_재차인원!$D$4:$H$35,MATCH("고양시",고양시_재차인원!$B$4:$B$35,0),MATCH($DN$101,고양시_재차인원!$D$4:$H$4,0))</f>
        <v>0.15429719785167384</v>
      </c>
      <c r="DO106" s="267">
        <f>INDEX($BQ$101:$CD$115,MATCH($CW106,$L$101:$L$115,0),MATCH(DO$102,$BQ$102:$CD$102,0))/INDEX(고양시_재차인원!$K$4:$O$20,MATCH("경기도",고양시_재차인원!$K$4:$K$20,0),MATCH(DO$102,고양시_재차인원!$K$4:$O$4,0))</f>
        <v>1.4358594821608773E-6</v>
      </c>
      <c r="DP106" s="267">
        <f>INDEX($BQ$101:$CD$115,MATCH($CW106,$L$101:$L$115,0),MATCH(DP$102,$BQ$102:$CD$102,0))/INDEX(고양시_재차인원!$K$4:$O$20,MATCH("경기도",고양시_재차인원!$K$4:$K$20,0),MATCH(DP$102,고양시_재차인원!$K$4:$O$4,0))</f>
        <v>3.9916893604072386E-4</v>
      </c>
      <c r="DQ106" s="267">
        <f>INDEX($BQ$101:$CD$115,MATCH($CW106,$L$101:$L$115,0),MATCH(DQ$102,$BQ$102:$CD$102,0))/INDEX(고양시_재차인원!$D$4:$H$35,MATCH("고양시",고양시_재차인원!$B$4:$B$35,0),MATCH($DN$101,고양시_재차인원!$D$4:$H$4,0))</f>
        <v>9.9080913781002533E-3</v>
      </c>
      <c r="DR106" s="270">
        <f t="shared" si="53"/>
        <v>490.05925045585997</v>
      </c>
      <c r="DS106" s="270">
        <f t="shared" si="48"/>
        <v>4.9469159964953702E-3</v>
      </c>
      <c r="DT106" s="270">
        <f t="shared" si="48"/>
        <v>1.3752426470257126</v>
      </c>
      <c r="DU106" s="270">
        <f t="shared" si="48"/>
        <v>31.46882705457574</v>
      </c>
      <c r="DW106" s="278"/>
      <c r="DX106" s="278" t="s">
        <v>671</v>
      </c>
      <c r="DY106" s="281">
        <f t="shared" si="54"/>
        <v>521.52807751043565</v>
      </c>
      <c r="DZ106" s="281">
        <f t="shared" si="55"/>
        <v>1.3801895630222081</v>
      </c>
      <c r="EB106" s="278"/>
      <c r="EC106" s="278" t="s">
        <v>671</v>
      </c>
      <c r="ED106" s="281">
        <f t="shared" si="56"/>
        <v>521.52807751043565</v>
      </c>
      <c r="EE106" s="281">
        <f t="shared" si="49"/>
        <v>1.3801895630222081</v>
      </c>
      <c r="EL106" s="306" t="s">
        <v>12</v>
      </c>
      <c r="EM106" s="306" t="s">
        <v>360</v>
      </c>
      <c r="EN106" s="306">
        <v>6559.1377000000002</v>
      </c>
      <c r="EO106" s="306">
        <v>9.7934096505675777E-2</v>
      </c>
      <c r="EP106" s="307">
        <v>849104</v>
      </c>
      <c r="EQ106" s="308">
        <f t="shared" si="57"/>
        <v>19.403548191078443</v>
      </c>
      <c r="ER106" s="308">
        <f t="shared" si="58"/>
        <v>5.1350206928003871E-2</v>
      </c>
      <c r="ET106" s="420" t="s">
        <v>12</v>
      </c>
      <c r="EU106" s="420" t="s">
        <v>360</v>
      </c>
      <c r="EV106" s="420">
        <v>6559.1377000000002</v>
      </c>
      <c r="EW106" s="420">
        <v>9.7934096505675777E-2</v>
      </c>
      <c r="EX106" s="421">
        <v>849104</v>
      </c>
      <c r="EY106" s="422">
        <f t="shared" si="59"/>
        <v>18.850547067632707</v>
      </c>
      <c r="EZ106" s="422">
        <f t="shared" si="60"/>
        <v>4.9886726030555759E-2</v>
      </c>
      <c r="FA106">
        <v>0</v>
      </c>
      <c r="FD106" s="306" t="s">
        <v>12</v>
      </c>
      <c r="FE106" s="306" t="s">
        <v>360</v>
      </c>
      <c r="FF106" s="306">
        <v>6559.1377000000002</v>
      </c>
      <c r="FG106" s="306">
        <v>9.7934096505675777E-2</v>
      </c>
      <c r="FH106" s="307">
        <v>849104</v>
      </c>
      <c r="FI106" s="308">
        <f t="shared" si="61"/>
        <v>18.850547067632707</v>
      </c>
      <c r="FJ106" s="308">
        <f t="shared" si="50"/>
        <v>4.9886726030555759E-2</v>
      </c>
      <c r="FL106" s="101"/>
      <c r="FM106" s="101"/>
      <c r="FN106" s="101"/>
      <c r="FO106" s="101"/>
      <c r="FP106" s="374"/>
      <c r="FQ106" s="404"/>
      <c r="FR106" s="404"/>
    </row>
    <row r="107" spans="1:174" ht="25">
      <c r="A107" s="205"/>
      <c r="B107" s="205" t="s">
        <v>673</v>
      </c>
      <c r="C107" s="400">
        <f>$AB65*KTDB_TripDistribution_2040!L$12 * (1+KTDB_발생량도착량_증가율!$C$8*2) * (1+KTDB_발생량도착량_증가율!$D$7*5) * (1+KTDB_발생량도착량_증가율!$E$7*5) * (1+KTDB_발생량도착량_증가율!$F$7*5)</f>
        <v>273.18341337354047</v>
      </c>
      <c r="D107" s="400">
        <f>$AB65*KTDB_TripDistribution_2040!M$12 * (1+KTDB_발생량도착량_증가율!$C$8*2) * (1+KTDB_발생량도착량_증가율!$D$7*5) * (1+KTDB_발생량도착량_증가율!$E$7*5) * (1+KTDB_발생량도착량_증가율!$F$7*5)</f>
        <v>2124.3106525222379</v>
      </c>
      <c r="E107" s="400">
        <f>$AB65*KTDB_TripDistribution_2040!N$12 * (1+KTDB_발생량도착량_증가율!$C$8*2) * (1+KTDB_발생량도착량_증가율!$D$7*5) * (1+KTDB_발생량도착량_증가율!$E$7*5) * (1+KTDB_발생량도착량_증가율!$F$7*5)</f>
        <v>94.160819767714159</v>
      </c>
      <c r="F107" s="400">
        <f>$AB65*KTDB_TripDistribution_2040!O$12 * (1+KTDB_발생량도착량_증가율!$C$8*2) * (1+KTDB_발생량도착량_증가율!$D$7*5) * (1+KTDB_발생량도착량_증가율!$E$7*5) * (1+KTDB_발생량도착량_증가율!$F$7*5)</f>
        <v>0.25535137564125748</v>
      </c>
      <c r="G107" s="400">
        <f>$AB65*KTDB_TripDistribution_2040!P$12 * (1+KTDB_발생량도착량_증가율!$C$8*2) * (1+KTDB_발생량도착량_증가율!$D$7*5) * (1+KTDB_발생량도착량_증가율!$E$7*5) * (1+KTDB_발생량도착량_증가율!$F$7*5)</f>
        <v>0.72349556431690198</v>
      </c>
      <c r="H107" s="400">
        <f>$AB65*KTDB_TripDistribution_2040!Q$12 * (1+KTDB_발생량도착량_증가율!$C$8*2) * (1+KTDB_발생량도착량_증가율!$D$7*5) * (1+KTDB_발생량도착량_증가율!$E$7*5) * (1+KTDB_발생량도착량_증가율!$F$7*5)</f>
        <v>2492.6337326034513</v>
      </c>
      <c r="J107" s="230">
        <f t="shared" si="46"/>
        <v>2492.6337326034509</v>
      </c>
      <c r="K107" s="206"/>
      <c r="L107" s="206" t="s">
        <v>673</v>
      </c>
      <c r="M107" s="206">
        <f>INDEX($A$102:$H$115,MATCH($L107,$B$102:$B$115,0),MATCH($M$101,$A$102:$H$102,0))*고양시_Modal_split!C$3 * 0.01</f>
        <v>0.76491355744591338</v>
      </c>
      <c r="N107" s="206">
        <f>INDEX($A$102:$H$115,MATCH($L107,$B$102:$B$115,0),MATCH($M$101,$A$102:$H$102,0))*고양시_Modal_split!D$3 * 0.01</f>
        <v>128.47815930957609</v>
      </c>
      <c r="O107" s="206">
        <f>INDEX($A$102:$H$115,MATCH($L107,$B$102:$B$115,0),MATCH($M$101,$A$102:$H$102,0))*고양시_Modal_split!E$3 * 0.01</f>
        <v>15.544136220954451</v>
      </c>
      <c r="P107" s="206">
        <f>INDEX($A$102:$H$115,MATCH($L107,$B$102:$B$115,0),MATCH($M$101,$A$102:$H$102,0))*고양시_Modal_split!F$3 * 0.01</f>
        <v>25.050919006353663</v>
      </c>
      <c r="Q107" s="206">
        <f>INDEX($A$102:$H$115,MATCH($L107,$B$102:$B$115,0),MATCH($M$101,$A$102:$H$102,0))*고양시_Modal_split!G$3 * 0.01</f>
        <v>2.5132874030365722</v>
      </c>
      <c r="R107" s="206">
        <f>INDEX($A$102:$H$115,MATCH($L107,$B$102:$B$115,0),MATCH($M$101,$A$102:$H$102,0))*고양시_Modal_split!H$3 * 0.01</f>
        <v>2.7318341337354047E-2</v>
      </c>
      <c r="S107" s="206">
        <f>INDEX($A$102:$H$115,MATCH($L107,$B$102:$B$115,0),MATCH($M$101,$A$102:$H$102,0))*고양시_Modal_split!I$3 * 0.01</f>
        <v>7.5944988917844256</v>
      </c>
      <c r="T107" s="206">
        <f>INDEX($A$102:$H$115,MATCH($L107,$B$102:$B$115,0),MATCH($M$101,$A$102:$H$102,0))*고양시_Modal_split!J$3 * 0.01</f>
        <v>83.157031030905728</v>
      </c>
      <c r="U107" s="206">
        <f>INDEX($A$102:$H$115,MATCH($L107,$B$102:$B$115,0),MATCH($M$101,$A$102:$H$102,0))*고양시_Modal_split!K$3 * 0.01</f>
        <v>0.40977512006031069</v>
      </c>
      <c r="V107" s="206">
        <f>INDEX($A$102:$H$115,MATCH($L107,$B$102:$B$115,0),MATCH($M$101,$A$102:$H$102,0))*고양시_Modal_split!L$3 * 0.01</f>
        <v>8.2501390838809225</v>
      </c>
      <c r="W107" s="206">
        <f>INDEX($A$102:$H$115,MATCH($L107,$B$102:$B$115,0),MATCH($M$101,$A$102:$H$102,0))*고양시_Modal_split!M$3 * 0.01</f>
        <v>0.62832185075914304</v>
      </c>
      <c r="X107" s="206">
        <f>INDEX($A$102:$H$115,MATCH($L107,$B$102:$B$115,0),MATCH($M$101,$A$102:$H$102,0))*고양시_Modal_split!N$3 * 0.01</f>
        <v>0.27318341337354052</v>
      </c>
      <c r="Y107" s="206">
        <f>INDEX($A$102:$H$115,MATCH($L107,$B$102:$B$115,0),MATCH($M$101,$A$102:$H$102,0))*고양시_Modal_split!O$3 * 0.01</f>
        <v>0.49173014407237281</v>
      </c>
      <c r="Z107" s="209">
        <f>INDEX($A$102:$H$115,MATCH($L107,$B$102:$B$115,0),MATCH($M$101,$A$102:$H$102,0))*고양시_Modal_split!P$3 * 0.01</f>
        <v>273.18341337354047</v>
      </c>
      <c r="AA107" s="207">
        <f>INDEX($A$102:$H$115,MATCH($L107,$B$102:$B$115,0),MATCH($AA$101,$A$102:$H$102,0))*고양시_Modal_split!C$3 * 0.01</f>
        <v>5.9480698270622661</v>
      </c>
      <c r="AB107" s="207">
        <f>INDEX($A$102:$H$115,MATCH($L107,$B$102:$B$115,0),MATCH($AA$101,$A$102:$H$102,0))*고양시_Modal_split!D$3 * 0.01</f>
        <v>999.06329988120854</v>
      </c>
      <c r="AC107" s="207">
        <f>INDEX($A$102:$H$115,MATCH($L107,$B$102:$B$115,0),MATCH($AA$101,$A$102:$H$102,0))*고양시_Modal_split!E$3 * 0.01</f>
        <v>120.87327612851531</v>
      </c>
      <c r="AD107" s="207">
        <f>INDEX($A$102:$H$115,MATCH($L107,$B$102:$B$115,0),MATCH($AA$101,$A$102:$H$102,0))*고양시_Modal_split!F$3 * 0.01</f>
        <v>194.79928683628921</v>
      </c>
      <c r="AE107" s="207">
        <f>INDEX($A$102:$H$115,MATCH($L107,$B$102:$B$115,0),MATCH($AA$101,$A$102:$H$102,0))*고양시_Modal_split!G$3 * 0.01</f>
        <v>19.543658003204587</v>
      </c>
      <c r="AF107" s="207">
        <f>INDEX($A$102:$H$115,MATCH($L107,$B$102:$B$115,0),MATCH($AA$101,$A$102:$H$102,0))*고양시_Modal_split!H$3 * 0.01</f>
        <v>0.2124310652522238</v>
      </c>
      <c r="AG107" s="207">
        <f>INDEX($A$102:$H$115,MATCH($L107,$B$102:$B$115,0),MATCH($AA$101,$A$102:$H$102,0))*고양시_Modal_split!I$3 * 0.01</f>
        <v>59.05583614011821</v>
      </c>
      <c r="AH107" s="207">
        <f>INDEX($A$102:$H$115,MATCH($L107,$B$102:$B$115,0),MATCH($AA$101,$A$102:$H$102,0))*고양시_Modal_split!J$3 * 0.01</f>
        <v>646.6401626277692</v>
      </c>
      <c r="AI107" s="207">
        <f>INDEX($A$102:$H$115,MATCH($L107,$B$102:$B$115,0),MATCH($AA$101,$A$102:$H$102,0))*고양시_Modal_split!K$3 * 0.01</f>
        <v>3.1864659787833567</v>
      </c>
      <c r="AJ107" s="207">
        <f>INDEX($A$102:$H$115,MATCH($L107,$B$102:$B$115,0),MATCH($AA$101,$A$102:$H$102,0))*고양시_Modal_split!L$3 * 0.01</f>
        <v>64.154181706171585</v>
      </c>
      <c r="AK107" s="207">
        <f>INDEX($A$102:$H$115,MATCH($L107,$B$102:$B$115,0),MATCH($AA$101,$A$102:$H$102,0))*고양시_Modal_split!M$3 * 0.01</f>
        <v>4.8859145008011469</v>
      </c>
      <c r="AL107" s="207">
        <f>INDEX($A$102:$H$115,MATCH($L107,$B$102:$B$115,0),MATCH($AA$101,$A$102:$H$102,0))*고양시_Modal_split!N$3 * 0.01</f>
        <v>2.1243106525222379</v>
      </c>
      <c r="AM107" s="207">
        <f>INDEX($A$102:$H$115,MATCH($L107,$B$102:$B$115,0),MATCH($AA$101,$A$102:$H$102,0))*고양시_Modal_split!O$3 * 0.01</f>
        <v>3.8237591745400286</v>
      </c>
      <c r="AN107" s="207">
        <f>INDEX($A$102:$H$115,MATCH($L107,$B$102:$B$115,0),MATCH($AA$101,$A$102:$H$102,0))*고양시_Modal_split!P$3 * 0.01</f>
        <v>2124.3106525222379</v>
      </c>
      <c r="AO107" s="303">
        <f>INDEX($A$102:$H$115,MATCH($L107,$B$102:$B$115,0),MATCH($AO$101,$A$102:$H$102,0))*고양시_Modal_split!C$3 * 0.01</f>
        <v>0.26365029534959961</v>
      </c>
      <c r="AP107" s="303">
        <f>INDEX($A$102:$H$115,MATCH($L107,$B$102:$B$115,0),MATCH($AO$101,$A$102:$H$102,0))*고양시_Modal_split!D$3 * 0.01</f>
        <v>44.283833536755978</v>
      </c>
      <c r="AQ107" s="303">
        <f>INDEX($A$102:$H$115,MATCH($L107,$B$102:$B$115,0),MATCH($AO$101,$A$102:$H$102,0))*고양시_Modal_split!E$3 * 0.01</f>
        <v>5.3577506447829357</v>
      </c>
      <c r="AR107" s="303">
        <f>INDEX($A$102:$H$115,MATCH($L107,$B$102:$B$115,0),MATCH($AO$101,$A$102:$H$102,0))*고양시_Modal_split!F$3 * 0.01</f>
        <v>8.6345471726993885</v>
      </c>
      <c r="AS107" s="303">
        <f>INDEX($A$102:$H$115,MATCH($L107,$B$102:$B$115,0),MATCH($AO$101,$A$102:$H$102,0))*고양시_Modal_split!G$3 * 0.01</f>
        <v>0.86627954186297018</v>
      </c>
      <c r="AT107" s="303">
        <f>INDEX($A$102:$H$115,MATCH($L107,$B$102:$B$115,0),MATCH($AO$101,$A$102:$H$102,0))*고양시_Modal_split!H$3 * 0.01</f>
        <v>9.416081976771417E-3</v>
      </c>
      <c r="AU107" s="303">
        <f>INDEX($A$102:$H$115,MATCH($L107,$B$102:$B$115,0),MATCH($AO$101,$A$102:$H$102,0))*고양시_Modal_split!I$3 * 0.01</f>
        <v>2.6176707895424536</v>
      </c>
      <c r="AV107" s="303">
        <f>INDEX($A$102:$H$115,MATCH($L107,$B$102:$B$115,0),MATCH($AO$101,$A$102:$H$102,0))*고양시_Modal_split!J$3 * 0.01</f>
        <v>28.662553537292194</v>
      </c>
      <c r="AW107" s="303">
        <f>INDEX($A$102:$H$115,MATCH($L107,$B$102:$B$115,0),MATCH($AO$101,$A$102:$H$102,0))*고양시_Modal_split!K$3 * 0.01</f>
        <v>0.14124122965157124</v>
      </c>
      <c r="AX107" s="303">
        <f>INDEX($A$102:$H$115,MATCH($L107,$B$102:$B$115,0),MATCH($AO$101,$A$102:$H$102,0))*고양시_Modal_split!L$3 * 0.01</f>
        <v>2.8436567569849678</v>
      </c>
      <c r="AY107" s="303">
        <f>INDEX($A$102:$H$115,MATCH($L107,$B$102:$B$115,0),MATCH($AO$101,$A$102:$H$102,0))*고양시_Modal_split!M$3 * 0.01</f>
        <v>0.21656988546574255</v>
      </c>
      <c r="AZ107" s="303">
        <f>INDEX($A$102:$H$115,MATCH($L107,$B$102:$B$115,0),MATCH($AO$101,$A$102:$H$102,0))*고양시_Modal_split!N$3 * 0.01</f>
        <v>9.4160819767714163E-2</v>
      </c>
      <c r="BA107" s="207">
        <f>INDEX($A$102:$H$115,MATCH($L107,$B$102:$B$115,0),MATCH($AO$101,$A$102:$H$102,0))*고양시_Modal_split!O$3 * 0.01</f>
        <v>0.16948947558188546</v>
      </c>
      <c r="BB107" s="207">
        <f>INDEX($A$102:$H$115,MATCH($L107,$B$102:$B$115,0),MATCH($AO$101,$A$102:$H$102,0))*고양시_Modal_split!P$3 * 0.01</f>
        <v>94.160819767714173</v>
      </c>
      <c r="BC107" s="207">
        <f>INDEX($A$102:$H$115,MATCH($L107,$B$102:$B$115,0),MATCH($BC$101,$A$102:$H$102,0))*고양시_Modal_split!C$3 * 0.01</f>
        <v>7.1498385179552093E-4</v>
      </c>
      <c r="BD107" s="207">
        <f>INDEX($A$102:$H$115,MATCH($L107,$B$102:$B$115,0),MATCH($BC$101,$A$102:$H$102,0))*고양시_Modal_split!D$3 * 0.01</f>
        <v>0.12009175196408339</v>
      </c>
      <c r="BE107" s="207">
        <f>INDEX($A$102:$H$115,MATCH($L107,$B$102:$B$115,0),MATCH($BC$101,$A$102:$H$102,0))*고양시_Modal_split!E$3 * 0.01</f>
        <v>1.4529493273987551E-2</v>
      </c>
      <c r="BF107" s="207">
        <f>INDEX($A$102:$H$115,MATCH($L107,$B$102:$B$115,0),MATCH($BC$101,$A$102:$H$102,0))*고양시_Modal_split!F$3 * 0.01</f>
        <v>2.3415721146303314E-2</v>
      </c>
      <c r="BG107" s="207">
        <f>INDEX($A$102:$H$115,MATCH($L107,$B$102:$B$115,0),MATCH($BC$101,$A$102:$H$102,0))*고양시_Modal_split!G$3 * 0.01</f>
        <v>2.3492326558995687E-3</v>
      </c>
      <c r="BH107" s="207">
        <f>INDEX($A$102:$H$115,MATCH($L107,$B$102:$B$115,0),MATCH($BC$101,$A$102:$H$102,0))*고양시_Modal_split!H$3 * 0.01</f>
        <v>2.5535137564125749E-5</v>
      </c>
      <c r="BI107" s="207">
        <f>INDEX($A$102:$H$115,MATCH($L107,$B$102:$B$115,0),MATCH($BC$101,$A$102:$H$102,0))*고양시_Modal_split!I$3 * 0.01</f>
        <v>7.0987682428269574E-3</v>
      </c>
      <c r="BJ107" s="207">
        <f>INDEX($A$102:$H$115,MATCH($L107,$B$102:$B$115,0),MATCH($BC$101,$A$102:$H$102,0))*고양시_Modal_split!J$3 * 0.01</f>
        <v>7.7728958745198778E-2</v>
      </c>
      <c r="BK107" s="207">
        <f>INDEX($A$102:$H$115,MATCH($L107,$B$102:$B$115,0),MATCH($BC$101,$A$102:$H$102,0))*고양시_Modal_split!K$3 * 0.01</f>
        <v>3.8302706346188617E-4</v>
      </c>
      <c r="BL107" s="207">
        <f>INDEX($A$102:$H$115,MATCH($L107,$B$102:$B$115,0),MATCH($BC$101,$A$102:$H$102,0))*고양시_Modal_split!L$3 * 0.01</f>
        <v>7.7116115443659761E-3</v>
      </c>
      <c r="BM107" s="207">
        <f>INDEX($A$102:$H$115,MATCH($L107,$B$102:$B$115,0),MATCH($BC$101,$A$102:$H$102,0))*고양시_Modal_split!M$3 * 0.01</f>
        <v>5.8730816397489219E-4</v>
      </c>
      <c r="BN107" s="207">
        <f>INDEX($A$102:$H$115,MATCH($L107,$B$102:$B$115,0),MATCH($BC$101,$A$102:$H$102,0))*고양시_Modal_split!N$3 * 0.01</f>
        <v>2.5535137564125748E-4</v>
      </c>
      <c r="BO107" s="207">
        <f>INDEX($A$102:$H$115,MATCH($L107,$B$102:$B$115,0),MATCH($BC$101,$A$102:$H$102,0))*고양시_Modal_split!O$3 * 0.01</f>
        <v>4.596324761542635E-4</v>
      </c>
      <c r="BP107" s="207">
        <f>INDEX($A$102:$H$115,MATCH($L107,$B$102:$B$115,0),MATCH($BC$101,$A$102:$H$102,0))*고양시_Modal_split!P$3 * 0.01</f>
        <v>0.25535137564125748</v>
      </c>
      <c r="BQ107" s="207">
        <f>INDEX($A$102:$H$115,MATCH($L107,$B$102:$B$115,0),MATCH($BQ$101,$A$102:$H$102,0))*고양시_Modal_split!C$3 * 0.01</f>
        <v>2.0257875800873256E-3</v>
      </c>
      <c r="BR107" s="207">
        <f>INDEX($A$102:$H$115,MATCH($L107,$B$102:$B$115,0),MATCH($BQ$101,$A$102:$H$102,0))*고양시_Modal_split!D$3 * 0.01</f>
        <v>0.34025996389823904</v>
      </c>
      <c r="BS107" s="207">
        <f>INDEX($A$102:$H$115,MATCH($L107,$B$102:$B$115,0),MATCH($BQ$101,$A$102:$H$102,0))*고양시_Modal_split!E$3 * 0.01</f>
        <v>4.1166897609631714E-2</v>
      </c>
      <c r="BT107" s="207">
        <f>INDEX($A$102:$H$115,MATCH($L107,$B$102:$B$115,0),MATCH($BQ$101,$A$102:$H$102,0))*고양시_Modal_split!F$3 * 0.01</f>
        <v>6.6344543247859905E-2</v>
      </c>
      <c r="BU107" s="207">
        <f>INDEX($A$102:$H$115,MATCH($L107,$B$102:$B$115,0),MATCH($BQ$101,$A$102:$H$102,0))*고양시_Modal_split!G$3 * 0.01</f>
        <v>6.6561591917154977E-3</v>
      </c>
      <c r="BV107" s="207">
        <f>INDEX($A$102:$H$115,MATCH($L107,$B$102:$B$115,0),MATCH($BQ$101,$A$102:$H$102,0))*고양시_Modal_split!H$3 * 0.01</f>
        <v>7.2349556431690202E-5</v>
      </c>
      <c r="BW107" s="207">
        <f>INDEX($A$102:$H$115,MATCH($L107,$B$102:$B$115,0),MATCH($BQ$101,$A$102:$H$102,0))*고양시_Modal_split!I$3 * 0.01</f>
        <v>2.0113176688009875E-2</v>
      </c>
      <c r="BX107" s="207">
        <f>INDEX($A$102:$H$115,MATCH($L107,$B$102:$B$115,0),MATCH($BQ$101,$A$102:$H$102,0))*고양시_Modal_split!J$3 * 0.01</f>
        <v>0.22023204977806499</v>
      </c>
      <c r="BY107" s="207">
        <f>INDEX($A$102:$H$115,MATCH($L107,$B$102:$B$115,0),MATCH($BQ$101,$A$102:$H$102,0))*고양시_Modal_split!K$3 * 0.01</f>
        <v>1.085243346475353E-3</v>
      </c>
      <c r="BZ107" s="207">
        <f>INDEX($A$102:$H$115,MATCH($L107,$B$102:$B$115,0),MATCH($BQ$101,$A$102:$H$102,0))*고양시_Modal_split!L$3 * 0.01</f>
        <v>2.1849566042370441E-2</v>
      </c>
      <c r="CA107" s="207">
        <f>INDEX($A$102:$H$115,MATCH($L107,$B$102:$B$115,0),MATCH($BQ$101,$A$102:$H$102,0))*고양시_Modal_split!M$3 * 0.01</f>
        <v>1.6640397979288744E-3</v>
      </c>
      <c r="CB107" s="207">
        <f>INDEX($A$102:$H$115,MATCH($L107,$B$102:$B$115,0),MATCH($BQ$101,$A$102:$H$102,0))*고양시_Modal_split!N$3 * 0.01</f>
        <v>7.2349556431690212E-4</v>
      </c>
      <c r="CC107" s="207">
        <f>INDEX($A$102:$H$115,MATCH($L107,$B$102:$B$115,0),MATCH($BQ$101,$A$102:$H$102,0))*고양시_Modal_split!O$3 * 0.01</f>
        <v>1.3022920157704234E-3</v>
      </c>
      <c r="CD107" s="207">
        <f>INDEX($A$102:$H$115,MATCH($L107,$B$102:$B$115,0),MATCH($BQ$101,$A$102:$H$102,0))*고양시_Modal_split!P$3 * 0.01</f>
        <v>0.7234955643169021</v>
      </c>
      <c r="CE107" s="304">
        <f t="shared" si="51"/>
        <v>6.9793744512896616</v>
      </c>
      <c r="CF107" s="304">
        <f t="shared" si="47"/>
        <v>1172.285644443403</v>
      </c>
      <c r="CG107" s="304">
        <f t="shared" si="47"/>
        <v>141.83085938513631</v>
      </c>
      <c r="CH107" s="304">
        <f t="shared" si="47"/>
        <v>228.57451327973644</v>
      </c>
      <c r="CI107" s="304">
        <f t="shared" si="47"/>
        <v>22.932230339951744</v>
      </c>
      <c r="CJ107" s="304">
        <f t="shared" si="47"/>
        <v>0.24926337326034506</v>
      </c>
      <c r="CK107" s="304">
        <f t="shared" si="47"/>
        <v>69.295217766375941</v>
      </c>
      <c r="CL107" s="304">
        <f t="shared" si="47"/>
        <v>758.75770820449031</v>
      </c>
      <c r="CM107" s="304">
        <f t="shared" si="47"/>
        <v>3.7389505989051757</v>
      </c>
      <c r="CN107" s="304">
        <f t="shared" si="47"/>
        <v>75.277538724624222</v>
      </c>
      <c r="CO107" s="304">
        <f t="shared" si="47"/>
        <v>5.7330575849879359</v>
      </c>
      <c r="CP107" s="304">
        <f t="shared" si="47"/>
        <v>2.4926337326034509</v>
      </c>
      <c r="CQ107" s="304">
        <f t="shared" si="47"/>
        <v>4.486740718686212</v>
      </c>
      <c r="CR107" s="304">
        <f t="shared" si="47"/>
        <v>2492.6337326034509</v>
      </c>
      <c r="CS107" s="305">
        <f t="shared" si="52"/>
        <v>0</v>
      </c>
      <c r="CV107" s="265"/>
      <c r="CW107" s="265" t="s">
        <v>673</v>
      </c>
      <c r="CX107" s="267">
        <f>INDEX($M$101:$Z$115,MATCH($CW107,$L$101:$L$115,0),MATCH(CX$102,$M$102:$Z$102,0))/INDEX(고양시_재차인원!$D$4:$H$35,MATCH("고양시",고양시_재차인원!$B$4:$B$35,0),MATCH($CX$101,고양시_재차인원!$D$4:$H$4,0))</f>
        <v>114.71264224069293</v>
      </c>
      <c r="CY107" s="267">
        <f>INDEX($M$101:$Z$115,MATCH($CW107,$L$101:$L$115,0),MATCH(CY$102,$M$102:$Z$102,0))/INDEX(고양시_재차인원!$K$4:$O$20,MATCH("경기도",고양시_재차인원!$K$4:$K$20,0),MATCH(CY$102,고양시_재차인원!$K$4:$O$4,0))</f>
        <v>9.4888299191920971E-4</v>
      </c>
      <c r="CZ107" s="267">
        <f>INDEX($M$101:$Z$115,MATCH($CW107,$L$101:$L$115,0),MATCH(CZ$102,$M$102:$Z$102,0))/INDEX(고양시_재차인원!$K$4:$O$20,MATCH("경기도",고양시_재차인원!$K$4:$K$20,0),MATCH(CZ$102,고양시_재차인원!$K$4:$O$4,0))</f>
        <v>0.26378947175354034</v>
      </c>
      <c r="DA107" s="267">
        <f>INDEX($M$101:$Z$115,MATCH($CW107,$L$101:$L$115,0),MATCH(DA$102,$M$102:$Z$102,0))/INDEX(고양시_재차인원!$D$4:$H$35,MATCH("고양시",고양시_재차인원!$B$4:$B$35,0),MATCH($CX$101,고양시_재차인원!$D$4:$H$4,0))</f>
        <v>7.3661956106079662</v>
      </c>
      <c r="DB107" s="267">
        <f>INDEX($AA$101:$AN$115,MATCH($CW107,$L$101:$L$115,0),MATCH(DB$102,$AA$102:$AN$102,0))/INDEX(고양시_재차인원!$D$4:$H$35,MATCH("고양시",고양시_재차인원!$B$4:$B$35,0),MATCH($DB$101,고양시_재차인원!$D$4:$H$4,0))</f>
        <v>708.55553183064444</v>
      </c>
      <c r="DC107" s="267">
        <f>INDEX($AA$101:$AN$115,MATCH($CW107,$L$101:$L$115,0),MATCH(DC$102,$AA$102:$AN$102,0))/INDEX(고양시_재차인원!$K$4:$O$20,MATCH("경기도",고양시_재차인원!$K$4:$K$20,0),MATCH(DC$102,고양시_재차인원!$K$4:$O$4,0))</f>
        <v>7.3786406826058977E-3</v>
      </c>
      <c r="DD107" s="267">
        <f>INDEX($AA$101:$AN$115,MATCH($CW107,$L$101:$L$115,0),MATCH(DD$102,$AA$102:$AN$102,0))/INDEX(고양시_재차인원!$K$4:$O$20,MATCH("경기도",고양시_재차인원!$K$4:$K$20,0),MATCH(DD$102,고양시_재차인원!$K$4:$O$4,0))</f>
        <v>2.0512621097644392</v>
      </c>
      <c r="DE107" s="267">
        <f>INDEX($AA$101:$AN$115,MATCH($CW107,$L$101:$L$115,0),MATCH(DE$102,$AA$102:$AN$102,0))/INDEX(고양시_재차인원!$D$4:$H$35,MATCH("고양시",고양시_재차인원!$B$4:$B$35,0),MATCH($DB$101,고양시_재차인원!$D$4:$H$4,0))</f>
        <v>45.499419649767084</v>
      </c>
      <c r="DF107" s="267">
        <f>INDEX($AO$101:$BB$115,MATCH($CW107,$L$101:$L$115,0),MATCH(DF$102,$AO$102:$BB$102,0))/INDEX(고양시_재차인원!$D$4:$H$35,MATCH("고양시",고양시_재차인원!$B$4:$B$35,0),MATCH($DF$101,고양시_재차인원!$D$4:$H$4,0))</f>
        <v>34.064487335966135</v>
      </c>
      <c r="DG107" s="267">
        <f>INDEX($AO$101:$BB$115,MATCH($CW107,$L$101:$L$115,0),MATCH(DG$102,$AO$102:$BB$102,0))/INDEX(고양시_재차인원!$K$4:$O$20,MATCH("경기도",고양시_재차인원!$K$4:$K$20,0),MATCH(DG$102,고양시_재차인원!$K$4:$O$4,0))</f>
        <v>3.270608536565272E-4</v>
      </c>
      <c r="DH107" s="267">
        <f>INDEX($AO$101:$BB$115,MATCH($CW107,$L$101:$L$115,0),MATCH(DH$102,$AO$102:$BB$102,0))/INDEX(고양시_재차인원!$K$4:$O$20,MATCH("경기도",고양시_재차인원!$K$4:$K$20,0),MATCH(DH$102,고양시_재차인원!$K$4:$O$4,0))</f>
        <v>9.0922917316514543E-2</v>
      </c>
      <c r="DI107" s="267">
        <f>INDEX($AO$101:$BB$115,MATCH($CW107,$L$101:$L$115,0),MATCH(DI$102,$AO$102:$BB$102,0))/INDEX(고양시_재차인원!$D$4:$H$35,MATCH("고양시",고양시_재차인원!$B$4:$B$35,0),MATCH($DF$101,고양시_재차인원!$D$4:$H$4,0))</f>
        <v>2.1874282746038212</v>
      </c>
      <c r="DJ107" s="267">
        <f>INDEX($BC$101:$BP$115,MATCH($CW107,$L$101:$L$115,0),MATCH(DJ$102,$BC$102:$BP$102,0))/INDEX(고양시_재차인원!$D$4:$H$35,MATCH("고양시",고양시_재차인원!$B$4:$B$35,0),MATCH($DJ$101,고양시_재차인원!$D$4:$H$4,0))</f>
        <v>8.8302758797120129E-2</v>
      </c>
      <c r="DK107" s="267">
        <f>INDEX($BC$101:$BP$115,MATCH($CW107,$L$101:$L$115,0),MATCH(DK$102,$BC$102:$BP$102,0))/INDEX(고양시_재차인원!$K$4:$O$20,MATCH("경기도",고양시_재차인원!$K$4:$K$20,0),MATCH(DK$102,고양시_재차인원!$K$4:$O$4,0))</f>
        <v>8.8694468788210311E-7</v>
      </c>
      <c r="DL107" s="267">
        <f>INDEX($BC$101:$BP$115,MATCH($CW107,$L$101:$L$115,0),MATCH(DL$102,$BC$102:$BP$102,0))/INDEX(고양시_재차인원!$K$4:$O$20,MATCH("경기도",고양시_재차인원!$K$4:$K$20,0),MATCH(DL$102,고양시_재차인원!$K$4:$O$4,0))</f>
        <v>2.4657062323122465E-4</v>
      </c>
      <c r="DM107" s="267">
        <f>INDEX($BC$101:$BP$115,MATCH($CW107,$L$101:$L$115,0),MATCH(DM$102,$BC$102:$BP$102,0))/INDEX(고양시_재차인원!$D$4:$H$35,MATCH("고양시",고양시_재차인원!$B$4:$B$35,0),MATCH($DJ$101,고양시_재차인원!$D$4:$H$4,0))</f>
        <v>5.6703026061514523E-3</v>
      </c>
      <c r="DN107" s="267">
        <f>INDEX($BQ$101:$CD$115,MATCH($CW107,$L$101:$L$115,0),MATCH(DN$102,$BQ$102:$CD$102,0))/INDEX(고양시_재차인원!$D$4:$H$35,MATCH("고양시",고양시_재차인원!$B$4:$B$35,0),MATCH($DN$101,고양시_재차인원!$D$4:$H$4,0))</f>
        <v>0.27004759039542781</v>
      </c>
      <c r="DO107" s="267">
        <f>INDEX($BQ$101:$CD$115,MATCH($CW107,$L$101:$L$115,0),MATCH(DO$102,$BQ$102:$CD$102,0))/INDEX(고양시_재차인원!$K$4:$O$20,MATCH("경기도",고양시_재차인원!$K$4:$K$20,0),MATCH(DO$102,고양시_재차인원!$K$4:$O$4,0))</f>
        <v>2.5130099489993125E-6</v>
      </c>
      <c r="DP107" s="267">
        <f>INDEX($BQ$101:$CD$115,MATCH($CW107,$L$101:$L$115,0),MATCH(DP$102,$BQ$102:$CD$102,0))/INDEX(고양시_재차인원!$K$4:$O$20,MATCH("경기도",고양시_재차인원!$K$4:$K$20,0),MATCH(DP$102,고양시_재차인원!$K$4:$O$4,0))</f>
        <v>6.9861676582180885E-4</v>
      </c>
      <c r="DQ107" s="267">
        <f>INDEX($BQ$101:$CD$115,MATCH($CW107,$L$101:$L$115,0),MATCH(DQ$102,$BQ$102:$CD$102,0))/INDEX(고양시_재차인원!$D$4:$H$35,MATCH("고양시",고양시_재차인원!$B$4:$B$35,0),MATCH($DN$101,고양시_재차인원!$D$4:$H$4,0))</f>
        <v>1.7340925430452733E-2</v>
      </c>
      <c r="DR107" s="270">
        <f t="shared" si="53"/>
        <v>857.69101175649598</v>
      </c>
      <c r="DS107" s="270">
        <f t="shared" si="48"/>
        <v>8.6579844828185166E-3</v>
      </c>
      <c r="DT107" s="270">
        <f t="shared" si="48"/>
        <v>2.4069196862235471</v>
      </c>
      <c r="DU107" s="270">
        <f t="shared" si="48"/>
        <v>55.07605476301547</v>
      </c>
      <c r="DW107" s="278"/>
      <c r="DX107" s="278" t="s">
        <v>673</v>
      </c>
      <c r="DY107" s="281">
        <f t="shared" si="54"/>
        <v>912.76706651951145</v>
      </c>
      <c r="DZ107" s="281">
        <f t="shared" si="55"/>
        <v>2.4155776707063659</v>
      </c>
      <c r="EB107" s="278"/>
      <c r="EC107" s="278" t="s">
        <v>673</v>
      </c>
      <c r="ED107" s="281">
        <f t="shared" si="56"/>
        <v>912.76706651951145</v>
      </c>
      <c r="EE107" s="281">
        <f t="shared" si="49"/>
        <v>2.4155776707063659</v>
      </c>
      <c r="EL107" s="306" t="s">
        <v>12</v>
      </c>
      <c r="EM107" s="306" t="s">
        <v>361</v>
      </c>
      <c r="EN107" s="306">
        <v>8261.5616000000009</v>
      </c>
      <c r="EO107" s="306">
        <v>0.12335288692322853</v>
      </c>
      <c r="EP107" s="307">
        <v>849105</v>
      </c>
      <c r="EQ107" s="308">
        <f t="shared" si="57"/>
        <v>24.439738266077743</v>
      </c>
      <c r="ER107" s="308">
        <f t="shared" si="58"/>
        <v>6.4678150865539963E-2</v>
      </c>
      <c r="ET107" s="420" t="s">
        <v>12</v>
      </c>
      <c r="EU107" s="420" t="s">
        <v>361</v>
      </c>
      <c r="EV107" s="420">
        <v>8261.5616000000009</v>
      </c>
      <c r="EW107" s="420">
        <v>0.12335288692322853</v>
      </c>
      <c r="EX107" s="421">
        <v>849105</v>
      </c>
      <c r="EY107" s="422">
        <f t="shared" si="59"/>
        <v>23.74320572549453</v>
      </c>
      <c r="EZ107" s="422">
        <f t="shared" si="60"/>
        <v>6.2834823565872069E-2</v>
      </c>
      <c r="FA107">
        <v>0</v>
      </c>
      <c r="FD107" s="306" t="s">
        <v>12</v>
      </c>
      <c r="FE107" s="306" t="s">
        <v>361</v>
      </c>
      <c r="FF107" s="306">
        <v>8261.5616000000009</v>
      </c>
      <c r="FG107" s="306">
        <v>0.12335288692322853</v>
      </c>
      <c r="FH107" s="307">
        <v>849105</v>
      </c>
      <c r="FI107" s="308">
        <f t="shared" si="61"/>
        <v>23.74320572549453</v>
      </c>
      <c r="FJ107" s="308">
        <f t="shared" si="50"/>
        <v>6.2834823565872069E-2</v>
      </c>
      <c r="FL107" s="101"/>
      <c r="FM107" s="101"/>
      <c r="FN107" s="101"/>
      <c r="FO107" s="101"/>
      <c r="FP107" s="374"/>
      <c r="FQ107" s="404"/>
      <c r="FR107" s="404"/>
    </row>
    <row r="108" spans="1:174" ht="25">
      <c r="A108" s="205"/>
      <c r="B108" s="205" t="s">
        <v>13</v>
      </c>
      <c r="C108" s="400">
        <f>$AB66*KTDB_TripDistribution_2040!L$12 * (1+KTDB_발생량도착량_증가율!$C$8*2) * (1+KTDB_발생량도착량_증가율!$D$7*5) * (1+KTDB_발생량도착량_증가율!$E$7*5) * (1+KTDB_발생량도착량_증가율!$F$7*5)</f>
        <v>91.172391472049043</v>
      </c>
      <c r="D108" s="400">
        <f>$AB66*KTDB_TripDistribution_2040!M$12 * (1+KTDB_발생량도착량_증가율!$C$8*2) * (1+KTDB_발생량도착량_증가율!$D$7*5) * (1+KTDB_발생량도착량_증가율!$E$7*5) * (1+KTDB_발생량도착량_증가율!$F$7*5)</f>
        <v>708.96867429931751</v>
      </c>
      <c r="E108" s="400">
        <f>$AB66*KTDB_TripDistribution_2040!N$12 * (1+KTDB_발생량도착량_증가율!$C$8*2) * (1+KTDB_발생량도착량_증가율!$D$7*5) * (1+KTDB_발생량도착량_증가율!$E$7*5) * (1+KTDB_발생량도착량_증가율!$F$7*5)</f>
        <v>31.425286825347889</v>
      </c>
      <c r="F108" s="400">
        <f>$AB66*KTDB_TripDistribution_2040!O$12 * (1+KTDB_발생량도착량_증가율!$C$8*2) * (1+KTDB_발생량도착량_증가율!$D$7*5) * (1+KTDB_발생량도착량_증가율!$E$7*5) * (1+KTDB_발생량도착량_증가율!$F$7*5)</f>
        <v>8.522111681450234E-2</v>
      </c>
      <c r="G108" s="400">
        <f>$AB66*KTDB_TripDistribution_2040!P$12 * (1+KTDB_발생량도착량_증가율!$C$8*2) * (1+KTDB_발생량도착량_증가율!$D$7*5) * (1+KTDB_발생량도착량_증가율!$E$7*5) * (1+KTDB_발생량도착량_증가율!$F$7*5)</f>
        <v>0.24145983097442519</v>
      </c>
      <c r="H108" s="400">
        <f>$AB66*KTDB_TripDistribution_2040!Q$12 * (1+KTDB_발생량도착량_증가율!$C$8*2) * (1+KTDB_발생량도착량_증가율!$D$7*5) * (1+KTDB_발생량도착량_증가율!$E$7*5) * (1+KTDB_발생량도착량_증가율!$F$7*5)</f>
        <v>831.8930335445034</v>
      </c>
      <c r="K108" s="206"/>
      <c r="L108" s="206" t="s">
        <v>13</v>
      </c>
      <c r="M108" s="206">
        <f>INDEX($A$102:$H$115,MATCH($L108,$B$102:$B$115,0),MATCH($M$101,$A$102:$H$102,0))*고양시_Modal_split!C$3 * 0.01</f>
        <v>0.25528269612173732</v>
      </c>
      <c r="N108" s="206">
        <f>INDEX($A$102:$H$115,MATCH($L108,$B$102:$B$115,0),MATCH($M$101,$A$102:$H$102,0))*고양시_Modal_split!D$3 * 0.01</f>
        <v>42.878375709304663</v>
      </c>
      <c r="O108" s="206">
        <f>INDEX($A$102:$H$115,MATCH($L108,$B$102:$B$115,0),MATCH($M$101,$A$102:$H$102,0))*고양시_Modal_split!E$3 * 0.01</f>
        <v>5.1877090747595904</v>
      </c>
      <c r="P108" s="206">
        <f>INDEX($A$102:$H$115,MATCH($L108,$B$102:$B$115,0),MATCH($M$101,$A$102:$H$102,0))*고양시_Modal_split!F$3 * 0.01</f>
        <v>8.3605082979868968</v>
      </c>
      <c r="Q108" s="206">
        <f>INDEX($A$102:$H$115,MATCH($L108,$B$102:$B$115,0),MATCH($M$101,$A$102:$H$102,0))*고양시_Modal_split!G$3 * 0.01</f>
        <v>0.8387860015428511</v>
      </c>
      <c r="R108" s="206">
        <f>INDEX($A$102:$H$115,MATCH($L108,$B$102:$B$115,0),MATCH($M$101,$A$102:$H$102,0))*고양시_Modal_split!H$3 * 0.01</f>
        <v>9.1172391472049037E-3</v>
      </c>
      <c r="S108" s="206">
        <f>INDEX($A$102:$H$115,MATCH($L108,$B$102:$B$115,0),MATCH($M$101,$A$102:$H$102,0))*고양시_Modal_split!I$3 * 0.01</f>
        <v>2.5345924829229634</v>
      </c>
      <c r="T108" s="206">
        <f>INDEX($A$102:$H$115,MATCH($L108,$B$102:$B$115,0),MATCH($M$101,$A$102:$H$102,0))*고양시_Modal_split!J$3 * 0.01</f>
        <v>27.752875964091732</v>
      </c>
      <c r="U108" s="206">
        <f>INDEX($A$102:$H$115,MATCH($L108,$B$102:$B$115,0),MATCH($M$101,$A$102:$H$102,0))*고양시_Modal_split!K$3 * 0.01</f>
        <v>0.13675858720807357</v>
      </c>
      <c r="V108" s="206">
        <f>INDEX($A$102:$H$115,MATCH($L108,$B$102:$B$115,0),MATCH($M$101,$A$102:$H$102,0))*고양시_Modal_split!L$3 * 0.01</f>
        <v>2.7534062224558813</v>
      </c>
      <c r="W108" s="206">
        <f>INDEX($A$102:$H$115,MATCH($L108,$B$102:$B$115,0),MATCH($M$101,$A$102:$H$102,0))*고양시_Modal_split!M$3 * 0.01</f>
        <v>0.20969650038571278</v>
      </c>
      <c r="X108" s="206">
        <f>INDEX($A$102:$H$115,MATCH($L108,$B$102:$B$115,0),MATCH($M$101,$A$102:$H$102,0))*고양시_Modal_split!N$3 * 0.01</f>
        <v>9.1172391472049044E-2</v>
      </c>
      <c r="Y108" s="206">
        <f>INDEX($A$102:$H$115,MATCH($L108,$B$102:$B$115,0),MATCH($M$101,$A$102:$H$102,0))*고양시_Modal_split!O$3 * 0.01</f>
        <v>0.16411030464968829</v>
      </c>
      <c r="Z108" s="209">
        <f>INDEX($A$102:$H$115,MATCH($L108,$B$102:$B$115,0),MATCH($M$101,$A$102:$H$102,0))*고양시_Modal_split!P$3 * 0.01</f>
        <v>91.172391472049043</v>
      </c>
      <c r="AA108" s="207">
        <f>INDEX($A$102:$H$115,MATCH($L108,$B$102:$B$115,0),MATCH($AA$101,$A$102:$H$102,0))*고양시_Modal_split!C$3 * 0.01</f>
        <v>1.9851122880380887</v>
      </c>
      <c r="AB108" s="207">
        <f>INDEX($A$102:$H$115,MATCH($L108,$B$102:$B$115,0),MATCH($AA$101,$A$102:$H$102,0))*고양시_Modal_split!D$3 * 0.01</f>
        <v>333.42796752296903</v>
      </c>
      <c r="AC108" s="207">
        <f>INDEX($A$102:$H$115,MATCH($L108,$B$102:$B$115,0),MATCH($AA$101,$A$102:$H$102,0))*고양시_Modal_split!E$3 * 0.01</f>
        <v>40.340317567631168</v>
      </c>
      <c r="AD108" s="207">
        <f>INDEX($A$102:$H$115,MATCH($L108,$B$102:$B$115,0),MATCH($AA$101,$A$102:$H$102,0))*고양시_Modal_split!F$3 * 0.01</f>
        <v>65.01242743324741</v>
      </c>
      <c r="AE108" s="207">
        <f>INDEX($A$102:$H$115,MATCH($L108,$B$102:$B$115,0),MATCH($AA$101,$A$102:$H$102,0))*고양시_Modal_split!G$3 * 0.01</f>
        <v>6.5225118035537211</v>
      </c>
      <c r="AF108" s="207">
        <f>INDEX($A$102:$H$115,MATCH($L108,$B$102:$B$115,0),MATCH($AA$101,$A$102:$H$102,0))*고양시_Modal_split!H$3 * 0.01</f>
        <v>7.0896867429931745E-2</v>
      </c>
      <c r="AG108" s="207">
        <f>INDEX($A$102:$H$115,MATCH($L108,$B$102:$B$115,0),MATCH($AA$101,$A$102:$H$102,0))*고양시_Modal_split!I$3 * 0.01</f>
        <v>19.709329145521025</v>
      </c>
      <c r="AH108" s="207">
        <f>INDEX($A$102:$H$115,MATCH($L108,$B$102:$B$115,0),MATCH($AA$101,$A$102:$H$102,0))*고양시_Modal_split!J$3 * 0.01</f>
        <v>215.81006445671224</v>
      </c>
      <c r="AI108" s="207">
        <f>INDEX($A$102:$H$115,MATCH($L108,$B$102:$B$115,0),MATCH($AA$101,$A$102:$H$102,0))*고양시_Modal_split!K$3 * 0.01</f>
        <v>1.0634530114489762</v>
      </c>
      <c r="AJ108" s="207">
        <f>INDEX($A$102:$H$115,MATCH($L108,$B$102:$B$115,0),MATCH($AA$101,$A$102:$H$102,0))*고양시_Modal_split!L$3 * 0.01</f>
        <v>21.41085396383939</v>
      </c>
      <c r="AK108" s="207">
        <f>INDEX($A$102:$H$115,MATCH($L108,$B$102:$B$115,0),MATCH($AA$101,$A$102:$H$102,0))*고양시_Modal_split!M$3 * 0.01</f>
        <v>1.6306279508884303</v>
      </c>
      <c r="AL108" s="207">
        <f>INDEX($A$102:$H$115,MATCH($L108,$B$102:$B$115,0),MATCH($AA$101,$A$102:$H$102,0))*고양시_Modal_split!N$3 * 0.01</f>
        <v>0.70896867429931765</v>
      </c>
      <c r="AM108" s="207">
        <f>INDEX($A$102:$H$115,MATCH($L108,$B$102:$B$115,0),MATCH($AA$101,$A$102:$H$102,0))*고양시_Modal_split!O$3 * 0.01</f>
        <v>1.2761436137387714</v>
      </c>
      <c r="AN108" s="207">
        <f>INDEX($A$102:$H$115,MATCH($L108,$B$102:$B$115,0),MATCH($AA$101,$A$102:$H$102,0))*고양시_Modal_split!P$3 * 0.01</f>
        <v>708.96867429931751</v>
      </c>
      <c r="AO108" s="303">
        <f>INDEX($A$102:$H$115,MATCH($L108,$B$102:$B$115,0),MATCH($AO$101,$A$102:$H$102,0))*고양시_Modal_split!C$3 * 0.01</f>
        <v>8.799080311097407E-2</v>
      </c>
      <c r="AP108" s="303">
        <f>INDEX($A$102:$H$115,MATCH($L108,$B$102:$B$115,0),MATCH($AO$101,$A$102:$H$102,0))*고양시_Modal_split!D$3 * 0.01</f>
        <v>14.779312393961114</v>
      </c>
      <c r="AQ108" s="303">
        <f>INDEX($A$102:$H$115,MATCH($L108,$B$102:$B$115,0),MATCH($AO$101,$A$102:$H$102,0))*고양시_Modal_split!E$3 * 0.01</f>
        <v>1.7880988203622949</v>
      </c>
      <c r="AR108" s="303">
        <f>INDEX($A$102:$H$115,MATCH($L108,$B$102:$B$115,0),MATCH($AO$101,$A$102:$H$102,0))*고양시_Modal_split!F$3 * 0.01</f>
        <v>2.8816988018844012</v>
      </c>
      <c r="AS108" s="303">
        <f>INDEX($A$102:$H$115,MATCH($L108,$B$102:$B$115,0),MATCH($AO$101,$A$102:$H$102,0))*고양시_Modal_split!G$3 * 0.01</f>
        <v>0.28911263879320059</v>
      </c>
      <c r="AT108" s="303">
        <f>INDEX($A$102:$H$115,MATCH($L108,$B$102:$B$115,0),MATCH($AO$101,$A$102:$H$102,0))*고양시_Modal_split!H$3 * 0.01</f>
        <v>3.1425286825347894E-3</v>
      </c>
      <c r="AU108" s="303">
        <f>INDEX($A$102:$H$115,MATCH($L108,$B$102:$B$115,0),MATCH($AO$101,$A$102:$H$102,0))*고양시_Modal_split!I$3 * 0.01</f>
        <v>0.87362297374467135</v>
      </c>
      <c r="AV108" s="303">
        <f>INDEX($A$102:$H$115,MATCH($L108,$B$102:$B$115,0),MATCH($AO$101,$A$102:$H$102,0))*고양시_Modal_split!J$3 * 0.01</f>
        <v>9.5658573096358985</v>
      </c>
      <c r="AW108" s="303">
        <f>INDEX($A$102:$H$115,MATCH($L108,$B$102:$B$115,0),MATCH($AO$101,$A$102:$H$102,0))*고양시_Modal_split!K$3 * 0.01</f>
        <v>4.7137930238021833E-2</v>
      </c>
      <c r="AX108" s="303">
        <f>INDEX($A$102:$H$115,MATCH($L108,$B$102:$B$115,0),MATCH($AO$101,$A$102:$H$102,0))*고양시_Modal_split!L$3 * 0.01</f>
        <v>0.94904366212550628</v>
      </c>
      <c r="AY108" s="303">
        <f>INDEX($A$102:$H$115,MATCH($L108,$B$102:$B$115,0),MATCH($AO$101,$A$102:$H$102,0))*고양시_Modal_split!M$3 * 0.01</f>
        <v>7.2278159698300148E-2</v>
      </c>
      <c r="AZ108" s="303">
        <f>INDEX($A$102:$H$115,MATCH($L108,$B$102:$B$115,0),MATCH($AO$101,$A$102:$H$102,0))*고양시_Modal_split!N$3 * 0.01</f>
        <v>3.1425286825347891E-2</v>
      </c>
      <c r="BA108" s="207">
        <f>INDEX($A$102:$H$115,MATCH($L108,$B$102:$B$115,0),MATCH($AO$101,$A$102:$H$102,0))*고양시_Modal_split!O$3 * 0.01</f>
        <v>5.6565516285626199E-2</v>
      </c>
      <c r="BB108" s="207">
        <f>INDEX($A$102:$H$115,MATCH($L108,$B$102:$B$115,0),MATCH($AO$101,$A$102:$H$102,0))*고양시_Modal_split!P$3 * 0.01</f>
        <v>31.425286825347889</v>
      </c>
      <c r="BC108" s="207">
        <f>INDEX($A$102:$H$115,MATCH($L108,$B$102:$B$115,0),MATCH($BC$101,$A$102:$H$102,0))*고양시_Modal_split!C$3 * 0.01</f>
        <v>2.3861912708060654E-4</v>
      </c>
      <c r="BD108" s="207">
        <f>INDEX($A$102:$H$115,MATCH($L108,$B$102:$B$115,0),MATCH($BC$101,$A$102:$H$102,0))*고양시_Modal_split!D$3 * 0.01</f>
        <v>4.0079491237860455E-2</v>
      </c>
      <c r="BE108" s="207">
        <f>INDEX($A$102:$H$115,MATCH($L108,$B$102:$B$115,0),MATCH($BC$101,$A$102:$H$102,0))*고양시_Modal_split!E$3 * 0.01</f>
        <v>4.8490815467451829E-3</v>
      </c>
      <c r="BF108" s="207">
        <f>INDEX($A$102:$H$115,MATCH($L108,$B$102:$B$115,0),MATCH($BC$101,$A$102:$H$102,0))*고양시_Modal_split!F$3 * 0.01</f>
        <v>7.8147764118898649E-3</v>
      </c>
      <c r="BG108" s="207">
        <f>INDEX($A$102:$H$115,MATCH($L108,$B$102:$B$115,0),MATCH($BC$101,$A$102:$H$102,0))*고양시_Modal_split!G$3 * 0.01</f>
        <v>7.8403427469342151E-4</v>
      </c>
      <c r="BH108" s="207">
        <f>INDEX($A$102:$H$115,MATCH($L108,$B$102:$B$115,0),MATCH($BC$101,$A$102:$H$102,0))*고양시_Modal_split!H$3 * 0.01</f>
        <v>8.5221116814502332E-6</v>
      </c>
      <c r="BI108" s="207">
        <f>INDEX($A$102:$H$115,MATCH($L108,$B$102:$B$115,0),MATCH($BC$101,$A$102:$H$102,0))*고양시_Modal_split!I$3 * 0.01</f>
        <v>2.3691470474431651E-3</v>
      </c>
      <c r="BJ108" s="207">
        <f>INDEX($A$102:$H$115,MATCH($L108,$B$102:$B$115,0),MATCH($BC$101,$A$102:$H$102,0))*고양시_Modal_split!J$3 * 0.01</f>
        <v>2.5941307958334516E-2</v>
      </c>
      <c r="BK108" s="207">
        <f>INDEX($A$102:$H$115,MATCH($L108,$B$102:$B$115,0),MATCH($BC$101,$A$102:$H$102,0))*고양시_Modal_split!K$3 * 0.01</f>
        <v>1.2783167522175353E-4</v>
      </c>
      <c r="BL108" s="207">
        <f>INDEX($A$102:$H$115,MATCH($L108,$B$102:$B$115,0),MATCH($BC$101,$A$102:$H$102,0))*고양시_Modal_split!L$3 * 0.01</f>
        <v>2.5736777277979707E-3</v>
      </c>
      <c r="BM108" s="207">
        <f>INDEX($A$102:$H$115,MATCH($L108,$B$102:$B$115,0),MATCH($BC$101,$A$102:$H$102,0))*고양시_Modal_split!M$3 * 0.01</f>
        <v>1.9600856867335538E-4</v>
      </c>
      <c r="BN108" s="207">
        <f>INDEX($A$102:$H$115,MATCH($L108,$B$102:$B$115,0),MATCH($BC$101,$A$102:$H$102,0))*고양시_Modal_split!N$3 * 0.01</f>
        <v>8.5221116814502342E-5</v>
      </c>
      <c r="BO108" s="207">
        <f>INDEX($A$102:$H$115,MATCH($L108,$B$102:$B$115,0),MATCH($BC$101,$A$102:$H$102,0))*고양시_Modal_split!O$3 * 0.01</f>
        <v>1.5339801026610422E-4</v>
      </c>
      <c r="BP108" s="207">
        <f>INDEX($A$102:$H$115,MATCH($L108,$B$102:$B$115,0),MATCH($BC$101,$A$102:$H$102,0))*고양시_Modal_split!P$3 * 0.01</f>
        <v>8.522111681450234E-2</v>
      </c>
      <c r="BQ108" s="207">
        <f>INDEX($A$102:$H$115,MATCH($L108,$B$102:$B$115,0),MATCH($BQ$101,$A$102:$H$102,0))*고양시_Modal_split!C$3 * 0.01</f>
        <v>6.7608752672839042E-4</v>
      </c>
      <c r="BR108" s="207">
        <f>INDEX($A$102:$H$115,MATCH($L108,$B$102:$B$115,0),MATCH($BQ$101,$A$102:$H$102,0))*고양시_Modal_split!D$3 * 0.01</f>
        <v>0.11355855850727217</v>
      </c>
      <c r="BS108" s="207">
        <f>INDEX($A$102:$H$115,MATCH($L108,$B$102:$B$115,0),MATCH($BQ$101,$A$102:$H$102,0))*고양시_Modal_split!E$3 * 0.01</f>
        <v>1.3739064382444793E-2</v>
      </c>
      <c r="BT108" s="207">
        <f>INDEX($A$102:$H$115,MATCH($L108,$B$102:$B$115,0),MATCH($BQ$101,$A$102:$H$102,0))*고양시_Modal_split!F$3 * 0.01</f>
        <v>2.2141866500354792E-2</v>
      </c>
      <c r="BU108" s="207">
        <f>INDEX($A$102:$H$115,MATCH($L108,$B$102:$B$115,0),MATCH($BQ$101,$A$102:$H$102,0))*고양시_Modal_split!G$3 * 0.01</f>
        <v>2.2214304449647117E-3</v>
      </c>
      <c r="BV108" s="207">
        <f>INDEX($A$102:$H$115,MATCH($L108,$B$102:$B$115,0),MATCH($BQ$101,$A$102:$H$102,0))*고양시_Modal_split!H$3 * 0.01</f>
        <v>2.414598309744252E-5</v>
      </c>
      <c r="BW108" s="207">
        <f>INDEX($A$102:$H$115,MATCH($L108,$B$102:$B$115,0),MATCH($BQ$101,$A$102:$H$102,0))*고양시_Modal_split!I$3 * 0.01</f>
        <v>6.7125833010890203E-3</v>
      </c>
      <c r="BX108" s="207">
        <f>INDEX($A$102:$H$115,MATCH($L108,$B$102:$B$115,0),MATCH($BQ$101,$A$102:$H$102,0))*고양시_Modal_split!J$3 * 0.01</f>
        <v>7.3500372548615037E-2</v>
      </c>
      <c r="BY108" s="207">
        <f>INDEX($A$102:$H$115,MATCH($L108,$B$102:$B$115,0),MATCH($BQ$101,$A$102:$H$102,0))*고양시_Modal_split!K$3 * 0.01</f>
        <v>3.6218974646163779E-4</v>
      </c>
      <c r="BZ108" s="207">
        <f>INDEX($A$102:$H$115,MATCH($L108,$B$102:$B$115,0),MATCH($BQ$101,$A$102:$H$102,0))*고양시_Modal_split!L$3 * 0.01</f>
        <v>7.2920868954276406E-3</v>
      </c>
      <c r="CA108" s="207">
        <f>INDEX($A$102:$H$115,MATCH($L108,$B$102:$B$115,0),MATCH($BQ$101,$A$102:$H$102,0))*고양시_Modal_split!M$3 * 0.01</f>
        <v>5.5535761124117793E-4</v>
      </c>
      <c r="CB108" s="207">
        <f>INDEX($A$102:$H$115,MATCH($L108,$B$102:$B$115,0),MATCH($BQ$101,$A$102:$H$102,0))*고양시_Modal_split!N$3 * 0.01</f>
        <v>2.4145983097442522E-4</v>
      </c>
      <c r="CC108" s="207">
        <f>INDEX($A$102:$H$115,MATCH($L108,$B$102:$B$115,0),MATCH($BQ$101,$A$102:$H$102,0))*고양시_Modal_split!O$3 * 0.01</f>
        <v>4.3462769575396533E-4</v>
      </c>
      <c r="CD108" s="207">
        <f>INDEX($A$102:$H$115,MATCH($L108,$B$102:$B$115,0),MATCH($BQ$101,$A$102:$H$102,0))*고양시_Modal_split!P$3 * 0.01</f>
        <v>0.24145983097442522</v>
      </c>
      <c r="CE108" s="304">
        <f t="shared" si="51"/>
        <v>2.3293004939246091</v>
      </c>
      <c r="CF108" s="304">
        <f t="shared" si="47"/>
        <v>391.23929367597992</v>
      </c>
      <c r="CG108" s="304">
        <f t="shared" si="47"/>
        <v>47.334713608682236</v>
      </c>
      <c r="CH108" s="304">
        <f t="shared" si="47"/>
        <v>76.284591176030943</v>
      </c>
      <c r="CI108" s="304">
        <f t="shared" si="47"/>
        <v>7.6534159086094311</v>
      </c>
      <c r="CJ108" s="304">
        <f t="shared" si="47"/>
        <v>8.3189303354450322E-2</v>
      </c>
      <c r="CK108" s="304">
        <f t="shared" si="47"/>
        <v>23.126626332537189</v>
      </c>
      <c r="CL108" s="304">
        <f t="shared" si="47"/>
        <v>253.22823941094683</v>
      </c>
      <c r="CM108" s="304">
        <f t="shared" si="47"/>
        <v>1.2478395503167552</v>
      </c>
      <c r="CN108" s="304">
        <f t="shared" si="47"/>
        <v>25.123169613044009</v>
      </c>
      <c r="CO108" s="304">
        <f t="shared" si="47"/>
        <v>1.9133539771523578</v>
      </c>
      <c r="CP108" s="304">
        <f t="shared" si="47"/>
        <v>0.8318930335445035</v>
      </c>
      <c r="CQ108" s="304">
        <f t="shared" si="47"/>
        <v>1.497407460380106</v>
      </c>
      <c r="CR108" s="304">
        <f t="shared" si="47"/>
        <v>831.89303354450351</v>
      </c>
      <c r="CS108" s="305">
        <f t="shared" si="52"/>
        <v>0</v>
      </c>
      <c r="CV108" s="267"/>
      <c r="CW108" s="267" t="s">
        <v>13</v>
      </c>
      <c r="CX108" s="267">
        <f>INDEX($M$101:$Z$115,MATCH($CW108,$L$101:$L$115,0),MATCH(CX$102,$M$102:$Z$102,0))/INDEX(고양시_재차인원!$D$4:$H$35,MATCH("고양시",고양시_재차인원!$B$4:$B$35,0),MATCH($CX$101,고양시_재차인원!$D$4:$H$4,0))</f>
        <v>38.284264026164877</v>
      </c>
      <c r="CY108" s="267">
        <f>INDEX($M$101:$Z$115,MATCH($CW108,$L$101:$L$115,0),MATCH(CY$102,$M$102:$Z$102,0))/INDEX(고양시_재차인원!$K$4:$O$20,MATCH("경기도",고양시_재차인원!$K$4:$K$20,0),MATCH(CY$102,고양시_재차인원!$K$4:$O$4,0))</f>
        <v>3.1668076232042045E-4</v>
      </c>
      <c r="CZ108" s="267">
        <f>INDEX($M$101:$Z$115,MATCH($CW108,$L$101:$L$115,0),MATCH(CZ$102,$M$102:$Z$102,0))/INDEX(고양시_재차인원!$K$4:$O$20,MATCH("경기도",고양시_재차인원!$K$4:$K$20,0),MATCH(CZ$102,고양시_재차인원!$K$4:$O$4,0))</f>
        <v>8.8037251925076887E-2</v>
      </c>
      <c r="DA108" s="267">
        <f>INDEX($M$101:$Z$115,MATCH($CW108,$L$101:$L$115,0),MATCH(DA$102,$M$102:$Z$102,0))/INDEX(고양시_재차인원!$D$4:$H$35,MATCH("고양시",고양시_재차인원!$B$4:$B$35,0),MATCH($CX$101,고양시_재차인원!$D$4:$H$4,0))</f>
        <v>2.4583984129070364</v>
      </c>
      <c r="DB108" s="267">
        <f>INDEX($AA$101:$AN$115,MATCH($CW108,$L$101:$L$115,0),MATCH(DB$102,$AA$102:$AN$102,0))/INDEX(고양시_재차인원!$D$4:$H$35,MATCH("고양시",고양시_재차인원!$B$4:$B$35,0),MATCH($DB$101,고양시_재차인원!$D$4:$H$4,0))</f>
        <v>236.47373583189295</v>
      </c>
      <c r="DC108" s="267">
        <f>INDEX($AA$101:$AN$115,MATCH($CW108,$L$101:$L$115,0),MATCH(DC$102,$AA$102:$AN$102,0))/INDEX(고양시_재차인원!$K$4:$O$20,MATCH("경기도",고양시_재차인원!$K$4:$K$20,0),MATCH(DC$102,고양시_재차인원!$K$4:$O$4,0))</f>
        <v>2.4625518384832146E-3</v>
      </c>
      <c r="DD108" s="267">
        <f>INDEX($AA$101:$AN$115,MATCH($CW108,$L$101:$L$115,0),MATCH(DD$102,$AA$102:$AN$102,0))/INDEX(고양시_재차인원!$K$4:$O$20,MATCH("경기도",고양시_재차인원!$K$4:$K$20,0),MATCH(DD$102,고양시_재차인원!$K$4:$O$4,0))</f>
        <v>0.6845894110983336</v>
      </c>
      <c r="DE108" s="267">
        <f>INDEX($AA$101:$AN$115,MATCH($CW108,$L$101:$L$115,0),MATCH(DE$102,$AA$102:$AN$102,0))/INDEX(고양시_재차인원!$D$4:$H$35,MATCH("고양시",고양시_재차인원!$B$4:$B$35,0),MATCH($DB$101,고양시_재차인원!$D$4:$H$4,0))</f>
        <v>15.185002811233611</v>
      </c>
      <c r="DF108" s="267">
        <f>INDEX($AO$101:$BB$115,MATCH($CW108,$L$101:$L$115,0),MATCH(DF$102,$AO$102:$BB$102,0))/INDEX(고양시_재차인원!$D$4:$H$35,MATCH("고양시",고양시_재차인원!$B$4:$B$35,0),MATCH($DF$101,고양시_재차인원!$D$4:$H$4,0))</f>
        <v>11.368701841508548</v>
      </c>
      <c r="DG108" s="267">
        <f>INDEX($AO$101:$BB$115,MATCH($CW108,$L$101:$L$115,0),MATCH(DG$102,$AO$102:$BB$102,0))/INDEX(고양시_재차인원!$K$4:$O$20,MATCH("경기도",고양시_재차인원!$K$4:$K$20,0),MATCH(DG$102,고양시_재차인원!$K$4:$O$4,0))</f>
        <v>1.0915347976848869E-4</v>
      </c>
      <c r="DH108" s="267">
        <f>INDEX($AO$101:$BB$115,MATCH($CW108,$L$101:$L$115,0),MATCH(DH$102,$AO$102:$BB$102,0))/INDEX(고양시_재차인원!$K$4:$O$20,MATCH("경기도",고양시_재차인원!$K$4:$K$20,0),MATCH(DH$102,고양시_재차인원!$K$4:$O$4,0))</f>
        <v>3.0344667375639855E-2</v>
      </c>
      <c r="DI108" s="267">
        <f>INDEX($AO$101:$BB$115,MATCH($CW108,$L$101:$L$115,0),MATCH(DI$102,$AO$102:$BB$102,0))/INDEX(고양시_재차인원!$D$4:$H$35,MATCH("고양시",고양시_재차인원!$B$4:$B$35,0),MATCH($DF$101,고양시_재차인원!$D$4:$H$4,0))</f>
        <v>0.73003358625038939</v>
      </c>
      <c r="DJ108" s="267">
        <f>INDEX($BC$101:$BP$115,MATCH($CW108,$L$101:$L$115,0),MATCH(DJ$102,$BC$102:$BP$102,0))/INDEX(고양시_재차인원!$D$4:$H$35,MATCH("고양시",고양시_재차인원!$B$4:$B$35,0),MATCH($DJ$101,고양시_재차인원!$D$4:$H$4,0))</f>
        <v>2.9470214145485629E-2</v>
      </c>
      <c r="DK108" s="267">
        <f>INDEX($BC$101:$BP$115,MATCH($CW108,$L$101:$L$115,0),MATCH(DK$102,$BC$102:$BP$102,0))/INDEX(고양시_재차인원!$K$4:$O$20,MATCH("경기도",고양시_재차인원!$K$4:$K$20,0),MATCH(DK$102,고양시_재차인원!$K$4:$O$4,0))</f>
        <v>2.9600943666030684E-7</v>
      </c>
      <c r="DL108" s="267">
        <f>INDEX($BC$101:$BP$115,MATCH($CW108,$L$101:$L$115,0),MATCH(DL$102,$BC$102:$BP$102,0))/INDEX(고양시_재차인원!$K$4:$O$20,MATCH("경기도",고양시_재차인원!$K$4:$K$20,0),MATCH(DL$102,고양시_재차인원!$K$4:$O$4,0))</f>
        <v>8.2290623391565311E-5</v>
      </c>
      <c r="DM108" s="267">
        <f>INDEX($BC$101:$BP$115,MATCH($CW108,$L$101:$L$115,0),MATCH(DM$102,$BC$102:$BP$102,0))/INDEX(고양시_재차인원!$D$4:$H$35,MATCH("고양시",고양시_재차인원!$B$4:$B$35,0),MATCH($DJ$101,고양시_재차인원!$D$4:$H$4,0))</f>
        <v>1.8924100939690959E-3</v>
      </c>
      <c r="DN108" s="267">
        <f>INDEX($BQ$101:$CD$115,MATCH($CW108,$L$101:$L$115,0),MATCH(DN$102,$BQ$102:$CD$102,0))/INDEX(고양시_재차인원!$D$4:$H$35,MATCH("고양시",고양시_재차인원!$B$4:$B$35,0),MATCH($DN$101,고양시_재차인원!$D$4:$H$4,0))</f>
        <v>9.0125840085136646E-2</v>
      </c>
      <c r="DO108" s="267">
        <f>INDEX($BQ$101:$CD$115,MATCH($CW108,$L$101:$L$115,0),MATCH(DO$102,$BQ$102:$CD$102,0))/INDEX(고양시_재차인원!$K$4:$O$20,MATCH("경기도",고양시_재차인원!$K$4:$K$20,0),MATCH(DO$102,고양시_재차인원!$K$4:$O$4,0))</f>
        <v>8.3869340387087598E-7</v>
      </c>
      <c r="DP108" s="267">
        <f>INDEX($BQ$101:$CD$115,MATCH($CW108,$L$101:$L$115,0),MATCH(DP$102,$BQ$102:$CD$102,0))/INDEX(고양시_재차인원!$K$4:$O$20,MATCH("경기도",고양시_재차인원!$K$4:$K$20,0),MATCH(DP$102,고양시_재차인원!$K$4:$O$4,0))</f>
        <v>2.3315676627610354E-4</v>
      </c>
      <c r="DQ108" s="267">
        <f>INDEX($BQ$101:$CD$115,MATCH($CW108,$L$101:$L$115,0),MATCH(DQ$102,$BQ$102:$CD$102,0))/INDEX(고양시_재차인원!$D$4:$H$35,MATCH("고양시",고양시_재차인원!$B$4:$B$35,0),MATCH($DN$101,고양시_재차인원!$D$4:$H$4,0))</f>
        <v>5.7873705519266988E-3</v>
      </c>
      <c r="DR108" s="270">
        <f t="shared" si="53"/>
        <v>286.24629775379697</v>
      </c>
      <c r="DS108" s="270">
        <f t="shared" si="48"/>
        <v>2.8895207834126546E-3</v>
      </c>
      <c r="DT108" s="270">
        <f t="shared" si="48"/>
        <v>0.80328677778871804</v>
      </c>
      <c r="DU108" s="270">
        <f t="shared" si="48"/>
        <v>18.381114591036933</v>
      </c>
      <c r="DW108" s="278"/>
      <c r="DX108" s="278" t="s">
        <v>13</v>
      </c>
      <c r="DY108" s="281">
        <f t="shared" si="54"/>
        <v>304.62741234483389</v>
      </c>
      <c r="DZ108" s="281">
        <f t="shared" si="55"/>
        <v>0.80617629857213069</v>
      </c>
      <c r="EB108" s="278"/>
      <c r="EC108" s="278" t="s">
        <v>13</v>
      </c>
      <c r="ED108" s="281">
        <f t="shared" si="56"/>
        <v>304.62741234483389</v>
      </c>
      <c r="EE108" s="281">
        <f t="shared" si="49"/>
        <v>0.80617629857213069</v>
      </c>
      <c r="EL108" s="306" t="s">
        <v>12</v>
      </c>
      <c r="EM108" s="306" t="s">
        <v>362</v>
      </c>
      <c r="EN108" s="306">
        <v>22890.217400000001</v>
      </c>
      <c r="EO108" s="306">
        <v>0.3417724802282317</v>
      </c>
      <c r="EP108" s="307">
        <v>849106</v>
      </c>
      <c r="EQ108" s="308">
        <f t="shared" si="57"/>
        <v>67.714912651576498</v>
      </c>
      <c r="ER108" s="308">
        <f t="shared" si="58"/>
        <v>0.17920303763663856</v>
      </c>
      <c r="ET108" s="420" t="s">
        <v>12</v>
      </c>
      <c r="EU108" s="420" t="s">
        <v>362</v>
      </c>
      <c r="EV108" s="420">
        <v>22890.217400000001</v>
      </c>
      <c r="EW108" s="420">
        <v>0.3417724802282317</v>
      </c>
      <c r="EX108" s="421">
        <v>849106</v>
      </c>
      <c r="EY108" s="422">
        <f t="shared" si="59"/>
        <v>65.785037641006568</v>
      </c>
      <c r="EZ108" s="422">
        <f t="shared" si="60"/>
        <v>0.17409575106399436</v>
      </c>
      <c r="FA108">
        <v>0</v>
      </c>
      <c r="FD108" s="306" t="s">
        <v>12</v>
      </c>
      <c r="FE108" s="306" t="s">
        <v>362</v>
      </c>
      <c r="FF108" s="306">
        <v>22890.217400000001</v>
      </c>
      <c r="FG108" s="306">
        <v>0.3417724802282317</v>
      </c>
      <c r="FH108" s="307">
        <v>849106</v>
      </c>
      <c r="FI108" s="308">
        <f t="shared" si="61"/>
        <v>65.785037641006568</v>
      </c>
      <c r="FJ108" s="308">
        <f t="shared" si="50"/>
        <v>0.17409575106399436</v>
      </c>
      <c r="FL108" s="101"/>
      <c r="FM108" s="101"/>
      <c r="FN108" s="101"/>
      <c r="FO108" s="101"/>
      <c r="FP108" s="374"/>
      <c r="FQ108" s="404"/>
      <c r="FR108" s="404"/>
    </row>
    <row r="109" spans="1:174" ht="25">
      <c r="A109" s="205"/>
      <c r="B109" s="205" t="s">
        <v>301</v>
      </c>
      <c r="C109" s="400">
        <f>$AB67*KTDB_TripDistribution_2040!L$12 * (1+KTDB_발생량도착량_증가율!$C$8*2) * (1+KTDB_발생량도착량_증가율!$D$7*5) * (1+KTDB_발생량도착량_증가율!$E$7*5) * (1+KTDB_발생량도착량_증가율!$F$7*5)</f>
        <v>1601.1073482245197</v>
      </c>
      <c r="D109" s="400">
        <f>$AB67*KTDB_TripDistribution_2040!M$12 * (1+KTDB_발생량도착량_증가율!$C$8*2) * (1+KTDB_발생량도착량_증가율!$D$7*5) * (1+KTDB_발생량도착량_증가율!$E$7*5) * (1+KTDB_발생량도착량_증가율!$F$7*5)</f>
        <v>12450.424254031272</v>
      </c>
      <c r="E109" s="400">
        <f>$AB67*KTDB_TripDistribution_2040!N$12 * (1+KTDB_발생량도착량_증가율!$C$8*2) * (1+KTDB_발생량도착량_증가율!$D$7*5) * (1+KTDB_발생량도착량_증가율!$E$7*5) * (1+KTDB_발생량도착량_증가율!$F$7*5)</f>
        <v>551.86945130810761</v>
      </c>
      <c r="F109" s="400">
        <f>$AB67*KTDB_TripDistribution_2040!O$12 * (1+KTDB_발생량도착량_증가율!$C$8*2) * (1+KTDB_발생량도착량_증가율!$D$7*5) * (1+KTDB_발생량도착량_증가율!$E$7*5) * (1+KTDB_발생량도착량_증가율!$F$7*5)</f>
        <v>1.4965951221914706</v>
      </c>
      <c r="G109" s="400">
        <f>$AB67*KTDB_TripDistribution_2040!P$12 * (1+KTDB_발생량도착량_증가율!$C$8*2) * (1+KTDB_발생량도착량_증가율!$D$7*5) * (1+KTDB_발생량도착량_증가율!$E$7*5) * (1+KTDB_발생량도착량_증가율!$F$7*5)</f>
        <v>4.2403528462092011</v>
      </c>
      <c r="H109" s="400">
        <f>$AB67*KTDB_TripDistribution_2040!Q$12 * (1+KTDB_발생량도착량_증가율!$C$8*2) * (1+KTDB_발생량도착량_증가율!$D$7*5) * (1+KTDB_발생량도착량_증가율!$E$7*5) * (1+KTDB_발생량도착량_증가율!$F$7*5)</f>
        <v>14609.138001532301</v>
      </c>
      <c r="I109" s="56"/>
      <c r="J109" s="56"/>
      <c r="K109" s="206"/>
      <c r="L109" s="206" t="s">
        <v>301</v>
      </c>
      <c r="M109" s="206">
        <f>INDEX($A$102:$H$115,MATCH($L109,$B$102:$B$115,0),MATCH($M$101,$A$102:$H$102,0))*고양시_Modal_split!C$3 * 0.01</f>
        <v>4.4831005750286543</v>
      </c>
      <c r="N109" s="206">
        <f>INDEX($A$102:$H$115,MATCH($L109,$B$102:$B$115,0),MATCH($M$101,$A$102:$H$102,0))*고양시_Modal_split!D$3 * 0.01</f>
        <v>753.00078586999166</v>
      </c>
      <c r="O109" s="206">
        <f>INDEX($A$102:$H$115,MATCH($L109,$B$102:$B$115,0),MATCH($M$101,$A$102:$H$102,0))*고양시_Modal_split!E$3 * 0.01</f>
        <v>91.103008113975164</v>
      </c>
      <c r="P109" s="206">
        <f>INDEX($A$102:$H$115,MATCH($L109,$B$102:$B$115,0),MATCH($M$101,$A$102:$H$102,0))*고양시_Modal_split!F$3 * 0.01</f>
        <v>146.82154383218847</v>
      </c>
      <c r="Q109" s="206">
        <f>INDEX($A$102:$H$115,MATCH($L109,$B$102:$B$115,0),MATCH($M$101,$A$102:$H$102,0))*고양시_Modal_split!G$3 * 0.01</f>
        <v>14.730187603665579</v>
      </c>
      <c r="R109" s="206">
        <f>INDEX($A$102:$H$115,MATCH($L109,$B$102:$B$115,0),MATCH($M$101,$A$102:$H$102,0))*고양시_Modal_split!H$3 * 0.01</f>
        <v>0.16011073482245197</v>
      </c>
      <c r="S109" s="206">
        <f>INDEX($A$102:$H$115,MATCH($L109,$B$102:$B$115,0),MATCH($M$101,$A$102:$H$102,0))*고양시_Modal_split!I$3 * 0.01</f>
        <v>44.510784280641644</v>
      </c>
      <c r="T109" s="206">
        <f>INDEX($A$102:$H$115,MATCH($L109,$B$102:$B$115,0),MATCH($M$101,$A$102:$H$102,0))*고양시_Modal_split!J$3 * 0.01</f>
        <v>487.37707679954383</v>
      </c>
      <c r="U109" s="206">
        <f>INDEX($A$102:$H$115,MATCH($L109,$B$102:$B$115,0),MATCH($M$101,$A$102:$H$102,0))*고양시_Modal_split!K$3 * 0.01</f>
        <v>2.4016610223367794</v>
      </c>
      <c r="V109" s="206">
        <f>INDEX($A$102:$H$115,MATCH($L109,$B$102:$B$115,0),MATCH($M$101,$A$102:$H$102,0))*고양시_Modal_split!L$3 * 0.01</f>
        <v>48.353441916380497</v>
      </c>
      <c r="W109" s="206">
        <f>INDEX($A$102:$H$115,MATCH($L109,$B$102:$B$115,0),MATCH($M$101,$A$102:$H$102,0))*고양시_Modal_split!M$3 * 0.01</f>
        <v>3.6825469009163947</v>
      </c>
      <c r="X109" s="206">
        <f>INDEX($A$102:$H$115,MATCH($L109,$B$102:$B$115,0),MATCH($M$101,$A$102:$H$102,0))*고양시_Modal_split!N$3 * 0.01</f>
        <v>1.6011073482245197</v>
      </c>
      <c r="Y109" s="206">
        <f>INDEX($A$102:$H$115,MATCH($L109,$B$102:$B$115,0),MATCH($M$101,$A$102:$H$102,0))*고양시_Modal_split!O$3 * 0.01</f>
        <v>2.8819932268041355</v>
      </c>
      <c r="Z109" s="209">
        <f>INDEX($A$102:$H$115,MATCH($L109,$B$102:$B$115,0),MATCH($M$101,$A$102:$H$102,0))*고양시_Modal_split!P$3 * 0.01</f>
        <v>1601.1073482245199</v>
      </c>
      <c r="AA109" s="207">
        <f>INDEX($A$102:$H$115,MATCH($L109,$B$102:$B$115,0),MATCH($AA$101,$A$102:$H$102,0))*고양시_Modal_split!C$3 * 0.01</f>
        <v>34.861187911287558</v>
      </c>
      <c r="AB109" s="207">
        <f>INDEX($A$102:$H$115,MATCH($L109,$B$102:$B$115,0),MATCH($AA$101,$A$102:$H$102,0))*고양시_Modal_split!D$3 * 0.01</f>
        <v>5855.434526670907</v>
      </c>
      <c r="AC109" s="207">
        <f>INDEX($A$102:$H$115,MATCH($L109,$B$102:$B$115,0),MATCH($AA$101,$A$102:$H$102,0))*고양시_Modal_split!E$3 * 0.01</f>
        <v>708.42914005437922</v>
      </c>
      <c r="AD109" s="207">
        <f>INDEX($A$102:$H$115,MATCH($L109,$B$102:$B$115,0),MATCH($AA$101,$A$102:$H$102,0))*고양시_Modal_split!F$3 * 0.01</f>
        <v>1141.7039040946677</v>
      </c>
      <c r="AE109" s="207">
        <f>INDEX($A$102:$H$115,MATCH($L109,$B$102:$B$115,0),MATCH($AA$101,$A$102:$H$102,0))*고양시_Modal_split!G$3 * 0.01</f>
        <v>114.5439031370877</v>
      </c>
      <c r="AF109" s="207">
        <f>INDEX($A$102:$H$115,MATCH($L109,$B$102:$B$115,0),MATCH($AA$101,$A$102:$H$102,0))*고양시_Modal_split!H$3 * 0.01</f>
        <v>1.2450424254031272</v>
      </c>
      <c r="AG109" s="207">
        <f>INDEX($A$102:$H$115,MATCH($L109,$B$102:$B$115,0),MATCH($AA$101,$A$102:$H$102,0))*고양시_Modal_split!I$3 * 0.01</f>
        <v>346.12179426206933</v>
      </c>
      <c r="AH109" s="207">
        <f>INDEX($A$102:$H$115,MATCH($L109,$B$102:$B$115,0),MATCH($AA$101,$A$102:$H$102,0))*고양시_Modal_split!J$3 * 0.01</f>
        <v>3789.9091429271193</v>
      </c>
      <c r="AI109" s="207">
        <f>INDEX($A$102:$H$115,MATCH($L109,$B$102:$B$115,0),MATCH($AA$101,$A$102:$H$102,0))*고양시_Modal_split!K$3 * 0.01</f>
        <v>18.675636381046907</v>
      </c>
      <c r="AJ109" s="207">
        <f>INDEX($A$102:$H$115,MATCH($L109,$B$102:$B$115,0),MATCH($AA$101,$A$102:$H$102,0))*고양시_Modal_split!L$3 * 0.01</f>
        <v>376.00281247174439</v>
      </c>
      <c r="AK109" s="207">
        <f>INDEX($A$102:$H$115,MATCH($L109,$B$102:$B$115,0),MATCH($AA$101,$A$102:$H$102,0))*고양시_Modal_split!M$3 * 0.01</f>
        <v>28.635975784271924</v>
      </c>
      <c r="AL109" s="207">
        <f>INDEX($A$102:$H$115,MATCH($L109,$B$102:$B$115,0),MATCH($AA$101,$A$102:$H$102,0))*고양시_Modal_split!N$3 * 0.01</f>
        <v>12.450424254031272</v>
      </c>
      <c r="AM109" s="207">
        <f>INDEX($A$102:$H$115,MATCH($L109,$B$102:$B$115,0),MATCH($AA$101,$A$102:$H$102,0))*고양시_Modal_split!O$3 * 0.01</f>
        <v>22.41076365725629</v>
      </c>
      <c r="AN109" s="207">
        <f>INDEX($A$102:$H$115,MATCH($L109,$B$102:$B$115,0),MATCH($AA$101,$A$102:$H$102,0))*고양시_Modal_split!P$3 * 0.01</f>
        <v>12450.424254031272</v>
      </c>
      <c r="AO109" s="303">
        <f>INDEX($A$102:$H$115,MATCH($L109,$B$102:$B$115,0),MATCH($AO$101,$A$102:$H$102,0))*고양시_Modal_split!C$3 * 0.01</f>
        <v>1.5452344636627013</v>
      </c>
      <c r="AP109" s="303">
        <f>INDEX($A$102:$H$115,MATCH($L109,$B$102:$B$115,0),MATCH($AO$101,$A$102:$H$102,0))*고양시_Modal_split!D$3 * 0.01</f>
        <v>259.54420295020304</v>
      </c>
      <c r="AQ109" s="303">
        <f>INDEX($A$102:$H$115,MATCH($L109,$B$102:$B$115,0),MATCH($AO$101,$A$102:$H$102,0))*고양시_Modal_split!E$3 * 0.01</f>
        <v>31.401371779431319</v>
      </c>
      <c r="AR109" s="303">
        <f>INDEX($A$102:$H$115,MATCH($L109,$B$102:$B$115,0),MATCH($AO$101,$A$102:$H$102,0))*고양시_Modal_split!F$3 * 0.01</f>
        <v>50.606428684953471</v>
      </c>
      <c r="AS109" s="303">
        <f>INDEX($A$102:$H$115,MATCH($L109,$B$102:$B$115,0),MATCH($AO$101,$A$102:$H$102,0))*고양시_Modal_split!G$3 * 0.01</f>
        <v>5.0771989520345899</v>
      </c>
      <c r="AT109" s="303">
        <f>INDEX($A$102:$H$115,MATCH($L109,$B$102:$B$115,0),MATCH($AO$101,$A$102:$H$102,0))*고양시_Modal_split!H$3 * 0.01</f>
        <v>5.5186945130810766E-2</v>
      </c>
      <c r="AU109" s="303">
        <f>INDEX($A$102:$H$115,MATCH($L109,$B$102:$B$115,0),MATCH($AO$101,$A$102:$H$102,0))*고양시_Modal_split!I$3 * 0.01</f>
        <v>15.341970746365391</v>
      </c>
      <c r="AV109" s="303">
        <f>INDEX($A$102:$H$115,MATCH($L109,$B$102:$B$115,0),MATCH($AO$101,$A$102:$H$102,0))*고양시_Modal_split!J$3 * 0.01</f>
        <v>167.98906097818795</v>
      </c>
      <c r="AW109" s="303">
        <f>INDEX($A$102:$H$115,MATCH($L109,$B$102:$B$115,0),MATCH($AO$101,$A$102:$H$102,0))*고양시_Modal_split!K$3 * 0.01</f>
        <v>0.82780417696216135</v>
      </c>
      <c r="AX109" s="303">
        <f>INDEX($A$102:$H$115,MATCH($L109,$B$102:$B$115,0),MATCH($AO$101,$A$102:$H$102,0))*고양시_Modal_split!L$3 * 0.01</f>
        <v>16.666457429504852</v>
      </c>
      <c r="AY109" s="303">
        <f>INDEX($A$102:$H$115,MATCH($L109,$B$102:$B$115,0),MATCH($AO$101,$A$102:$H$102,0))*고양시_Modal_split!M$3 * 0.01</f>
        <v>1.2692997380086475</v>
      </c>
      <c r="AZ109" s="303">
        <f>INDEX($A$102:$H$115,MATCH($L109,$B$102:$B$115,0),MATCH($AO$101,$A$102:$H$102,0))*고양시_Modal_split!N$3 * 0.01</f>
        <v>0.55186945130810761</v>
      </c>
      <c r="BA109" s="207">
        <f>INDEX($A$102:$H$115,MATCH($L109,$B$102:$B$115,0),MATCH($AO$101,$A$102:$H$102,0))*고양시_Modal_split!O$3 * 0.01</f>
        <v>0.99336501235459373</v>
      </c>
      <c r="BB109" s="207">
        <f>INDEX($A$102:$H$115,MATCH($L109,$B$102:$B$115,0),MATCH($AO$101,$A$102:$H$102,0))*고양시_Modal_split!P$3 * 0.01</f>
        <v>551.86945130810761</v>
      </c>
      <c r="BC109" s="207">
        <f>INDEX($A$102:$H$115,MATCH($L109,$B$102:$B$115,0),MATCH($BC$101,$A$102:$H$102,0))*고양시_Modal_split!C$3 * 0.01</f>
        <v>4.1904663421361175E-3</v>
      </c>
      <c r="BD109" s="207">
        <f>INDEX($A$102:$H$115,MATCH($L109,$B$102:$B$115,0),MATCH($BC$101,$A$102:$H$102,0))*고양시_Modal_split!D$3 * 0.01</f>
        <v>0.70384868596664862</v>
      </c>
      <c r="BE109" s="207">
        <f>INDEX($A$102:$H$115,MATCH($L109,$B$102:$B$115,0),MATCH($BC$101,$A$102:$H$102,0))*고양시_Modal_split!E$3 * 0.01</f>
        <v>8.515626245269467E-2</v>
      </c>
      <c r="BF109" s="207">
        <f>INDEX($A$102:$H$115,MATCH($L109,$B$102:$B$115,0),MATCH($BC$101,$A$102:$H$102,0))*고양시_Modal_split!F$3 * 0.01</f>
        <v>0.13723777270495785</v>
      </c>
      <c r="BG109" s="207">
        <f>INDEX($A$102:$H$115,MATCH($L109,$B$102:$B$115,0),MATCH($BC$101,$A$102:$H$102,0))*고양시_Modal_split!G$3 * 0.01</f>
        <v>1.3768675124161529E-2</v>
      </c>
      <c r="BH109" s="207">
        <f>INDEX($A$102:$H$115,MATCH($L109,$B$102:$B$115,0),MATCH($BC$101,$A$102:$H$102,0))*고양시_Modal_split!H$3 * 0.01</f>
        <v>1.4965951221914707E-4</v>
      </c>
      <c r="BI109" s="207">
        <f>INDEX($A$102:$H$115,MATCH($L109,$B$102:$B$115,0),MATCH($BC$101,$A$102:$H$102,0))*고양시_Modal_split!I$3 * 0.01</f>
        <v>4.1605344396922879E-2</v>
      </c>
      <c r="BJ109" s="207">
        <f>INDEX($A$102:$H$115,MATCH($L109,$B$102:$B$115,0),MATCH($BC$101,$A$102:$H$102,0))*고양시_Modal_split!J$3 * 0.01</f>
        <v>0.45556355519508368</v>
      </c>
      <c r="BK109" s="207">
        <f>INDEX($A$102:$H$115,MATCH($L109,$B$102:$B$115,0),MATCH($BC$101,$A$102:$H$102,0))*고양시_Modal_split!K$3 * 0.01</f>
        <v>2.244892683287206E-3</v>
      </c>
      <c r="BL109" s="207">
        <f>INDEX($A$102:$H$115,MATCH($L109,$B$102:$B$115,0),MATCH($BC$101,$A$102:$H$102,0))*고양시_Modal_split!L$3 * 0.01</f>
        <v>4.5197172690182412E-2</v>
      </c>
      <c r="BM109" s="207">
        <f>INDEX($A$102:$H$115,MATCH($L109,$B$102:$B$115,0),MATCH($BC$101,$A$102:$H$102,0))*고양시_Modal_split!M$3 * 0.01</f>
        <v>3.4421687810403823E-3</v>
      </c>
      <c r="BN109" s="207">
        <f>INDEX($A$102:$H$115,MATCH($L109,$B$102:$B$115,0),MATCH($BC$101,$A$102:$H$102,0))*고양시_Modal_split!N$3 * 0.01</f>
        <v>1.4965951221914706E-3</v>
      </c>
      <c r="BO109" s="207">
        <f>INDEX($A$102:$H$115,MATCH($L109,$B$102:$B$115,0),MATCH($BC$101,$A$102:$H$102,0))*고양시_Modal_split!O$3 * 0.01</f>
        <v>2.6938712199446467E-3</v>
      </c>
      <c r="BP109" s="207">
        <f>INDEX($A$102:$H$115,MATCH($L109,$B$102:$B$115,0),MATCH($BC$101,$A$102:$H$102,0))*고양시_Modal_split!P$3 * 0.01</f>
        <v>1.4965951221914708</v>
      </c>
      <c r="BQ109" s="207">
        <f>INDEX($A$102:$H$115,MATCH($L109,$B$102:$B$115,0),MATCH($BQ$101,$A$102:$H$102,0))*고양시_Modal_split!C$3 * 0.01</f>
        <v>1.1872987969385762E-2</v>
      </c>
      <c r="BR109" s="207">
        <f>INDEX($A$102:$H$115,MATCH($L109,$B$102:$B$115,0),MATCH($BQ$101,$A$102:$H$102,0))*고양시_Modal_split!D$3 * 0.01</f>
        <v>1.9942379435721873</v>
      </c>
      <c r="BS109" s="207">
        <f>INDEX($A$102:$H$115,MATCH($L109,$B$102:$B$115,0),MATCH($BQ$101,$A$102:$H$102,0))*고양시_Modal_split!E$3 * 0.01</f>
        <v>0.2412760769493035</v>
      </c>
      <c r="BT109" s="207">
        <f>INDEX($A$102:$H$115,MATCH($L109,$B$102:$B$115,0),MATCH($BQ$101,$A$102:$H$102,0))*고양시_Modal_split!F$3 * 0.01</f>
        <v>0.38884035599738376</v>
      </c>
      <c r="BU109" s="207">
        <f>INDEX($A$102:$H$115,MATCH($L109,$B$102:$B$115,0),MATCH($BQ$101,$A$102:$H$102,0))*고양시_Modal_split!G$3 * 0.01</f>
        <v>3.9011246185124644E-2</v>
      </c>
      <c r="BV109" s="207">
        <f>INDEX($A$102:$H$115,MATCH($L109,$B$102:$B$115,0),MATCH($BQ$101,$A$102:$H$102,0))*고양시_Modal_split!H$3 * 0.01</f>
        <v>4.2403528462092016E-4</v>
      </c>
      <c r="BW109" s="207">
        <f>INDEX($A$102:$H$115,MATCH($L109,$B$102:$B$115,0),MATCH($BQ$101,$A$102:$H$102,0))*고양시_Modal_split!I$3 * 0.01</f>
        <v>0.11788180912461579</v>
      </c>
      <c r="BX109" s="207">
        <f>INDEX($A$102:$H$115,MATCH($L109,$B$102:$B$115,0),MATCH($BQ$101,$A$102:$H$102,0))*고양시_Modal_split!J$3 * 0.01</f>
        <v>1.2907634063860809</v>
      </c>
      <c r="BY109" s="207">
        <f>INDEX($A$102:$H$115,MATCH($L109,$B$102:$B$115,0),MATCH($BQ$101,$A$102:$H$102,0))*고양시_Modal_split!K$3 * 0.01</f>
        <v>6.3605292693138015E-3</v>
      </c>
      <c r="BZ109" s="207">
        <f>INDEX($A$102:$H$115,MATCH($L109,$B$102:$B$115,0),MATCH($BQ$101,$A$102:$H$102,0))*고양시_Modal_split!L$3 * 0.01</f>
        <v>0.12805865595551785</v>
      </c>
      <c r="CA109" s="207">
        <f>INDEX($A$102:$H$115,MATCH($L109,$B$102:$B$115,0),MATCH($BQ$101,$A$102:$H$102,0))*고양시_Modal_split!M$3 * 0.01</f>
        <v>9.7528115462811611E-3</v>
      </c>
      <c r="CB109" s="207">
        <f>INDEX($A$102:$H$115,MATCH($L109,$B$102:$B$115,0),MATCH($BQ$101,$A$102:$H$102,0))*고양시_Modal_split!N$3 * 0.01</f>
        <v>4.240352846209201E-3</v>
      </c>
      <c r="CC109" s="207">
        <f>INDEX($A$102:$H$115,MATCH($L109,$B$102:$B$115,0),MATCH($BQ$101,$A$102:$H$102,0))*고양시_Modal_split!O$3 * 0.01</f>
        <v>7.6326351231765623E-3</v>
      </c>
      <c r="CD109" s="207">
        <f>INDEX($A$102:$H$115,MATCH($L109,$B$102:$B$115,0),MATCH($BQ$101,$A$102:$H$102,0))*고양시_Modal_split!P$3 * 0.01</f>
        <v>4.2403528462092011</v>
      </c>
      <c r="CE109" s="304">
        <f t="shared" si="51"/>
        <v>40.905586404290439</v>
      </c>
      <c r="CF109" s="304">
        <f t="shared" si="47"/>
        <v>6870.6776021206406</v>
      </c>
      <c r="CG109" s="304">
        <f t="shared" si="47"/>
        <v>831.25995228718762</v>
      </c>
      <c r="CH109" s="304">
        <f t="shared" si="47"/>
        <v>1339.657954740512</v>
      </c>
      <c r="CI109" s="304">
        <f t="shared" si="47"/>
        <v>134.40406961409715</v>
      </c>
      <c r="CJ109" s="304">
        <f t="shared" si="47"/>
        <v>1.46091380015323</v>
      </c>
      <c r="CK109" s="304">
        <f t="shared" si="47"/>
        <v>406.13403644259796</v>
      </c>
      <c r="CL109" s="304">
        <f t="shared" si="47"/>
        <v>4447.0216076664319</v>
      </c>
      <c r="CM109" s="304">
        <f t="shared" si="47"/>
        <v>21.913707002298448</v>
      </c>
      <c r="CN109" s="304">
        <f t="shared" si="47"/>
        <v>441.19596764627545</v>
      </c>
      <c r="CO109" s="304">
        <f t="shared" si="47"/>
        <v>33.601017403524288</v>
      </c>
      <c r="CP109" s="304">
        <f t="shared" si="47"/>
        <v>14.609138001532299</v>
      </c>
      <c r="CQ109" s="304">
        <f t="shared" si="47"/>
        <v>26.296448402758138</v>
      </c>
      <c r="CR109" s="304">
        <f t="shared" si="47"/>
        <v>14609.138001532299</v>
      </c>
      <c r="CS109" s="305">
        <f t="shared" si="52"/>
        <v>0</v>
      </c>
      <c r="CV109" s="267"/>
      <c r="CW109" s="267" t="s">
        <v>301</v>
      </c>
      <c r="CX109" s="267">
        <f>INDEX($M$101:$Z$115,MATCH($CW109,$L$101:$L$115,0),MATCH(CX$102,$M$102:$Z$102,0))/INDEX(고양시_재차인원!$D$4:$H$35,MATCH("고양시",고양시_재차인원!$B$4:$B$35,0),MATCH($CX$101,고양시_재차인원!$D$4:$H$4,0))</f>
        <v>672.32213024106397</v>
      </c>
      <c r="CY109" s="267">
        <f>INDEX($M$101:$Z$115,MATCH($CW109,$L$101:$L$115,0),MATCH(CY$102,$M$102:$Z$102,0))/INDEX(고양시_재차인원!$K$4:$O$20,MATCH("경기도",고양시_재차인원!$K$4:$K$20,0),MATCH(CY$102,고양시_재차인원!$K$4:$O$4,0))</f>
        <v>5.5613315325617222E-3</v>
      </c>
      <c r="CZ109" s="267">
        <f>INDEX($M$101:$Z$115,MATCH($CW109,$L$101:$L$115,0),MATCH(CZ$102,$M$102:$Z$102,0))/INDEX(고양시_재차인원!$K$4:$O$20,MATCH("경기도",고양시_재차인원!$K$4:$K$20,0),MATCH(CZ$102,고양시_재차인원!$K$4:$O$4,0))</f>
        <v>1.5460501660521586</v>
      </c>
      <c r="DA109" s="267">
        <f>INDEX($M$101:$Z$115,MATCH($CW109,$L$101:$L$115,0),MATCH(DA$102,$M$102:$Z$102,0))/INDEX(고양시_재차인원!$D$4:$H$35,MATCH("고양시",고양시_재차인원!$B$4:$B$35,0),MATCH($CX$101,고양시_재차인원!$D$4:$H$4,0))</f>
        <v>43.172715996768297</v>
      </c>
      <c r="DB109" s="267">
        <f>INDEX($AA$101:$AN$115,MATCH($CW109,$L$101:$L$115,0),MATCH(DB$102,$AA$102:$AN$102,0))/INDEX(고양시_재차인원!$D$4:$H$35,MATCH("고양시",고양시_재차인원!$B$4:$B$35,0),MATCH($DB$101,고양시_재차인원!$D$4:$H$4,0))</f>
        <v>4152.7904444474516</v>
      </c>
      <c r="DC109" s="267">
        <f>INDEX($AA$101:$AN$115,MATCH($CW109,$L$101:$L$115,0),MATCH(DC$102,$AA$102:$AN$102,0))/INDEX(고양시_재차인원!$K$4:$O$20,MATCH("경기도",고양시_재차인원!$K$4:$K$20,0),MATCH(DC$102,고양시_재차인원!$K$4:$O$4,0))</f>
        <v>4.3245655623588994E-2</v>
      </c>
      <c r="DD109" s="267">
        <f>INDEX($AA$101:$AN$115,MATCH($CW109,$L$101:$L$115,0),MATCH(DD$102,$AA$102:$AN$102,0))/INDEX(고양시_재차인원!$K$4:$O$20,MATCH("경기도",고양시_재차인원!$K$4:$K$20,0),MATCH(DD$102,고양시_재차인원!$K$4:$O$4,0))</f>
        <v>12.022292263357739</v>
      </c>
      <c r="DE109" s="267">
        <f>INDEX($AA$101:$AN$115,MATCH($CW109,$L$101:$L$115,0),MATCH(DE$102,$AA$102:$AN$102,0))/INDEX(고양시_재차인원!$D$4:$H$35,MATCH("고양시",고양시_재차인원!$B$4:$B$35,0),MATCH($DB$101,고양시_재차인원!$D$4:$H$4,0))</f>
        <v>266.66866132747833</v>
      </c>
      <c r="DF109" s="267">
        <f>INDEX($AO$101:$BB$115,MATCH($CW109,$L$101:$L$115,0),MATCH(DF$102,$AO$102:$BB$102,0))/INDEX(고양시_재차인원!$D$4:$H$35,MATCH("고양시",고양시_재차인원!$B$4:$B$35,0),MATCH($DF$101,고양시_재차인원!$D$4:$H$4,0))</f>
        <v>199.64938688477156</v>
      </c>
      <c r="DG109" s="267">
        <f>INDEX($AO$101:$BB$115,MATCH($CW109,$L$101:$L$115,0),MATCH(DG$102,$AO$102:$BB$102,0))/INDEX(고양시_재차인원!$K$4:$O$20,MATCH("경기도",고양시_재차인원!$K$4:$K$20,0),MATCH(DG$102,고양시_재차인원!$K$4:$O$4,0))</f>
        <v>1.9168789555682796E-3</v>
      </c>
      <c r="DH109" s="267">
        <f>INDEX($AO$101:$BB$115,MATCH($CW109,$L$101:$L$115,0),MATCH(DH$102,$AO$102:$BB$102,0))/INDEX(고양시_재차인원!$K$4:$O$20,MATCH("경기도",고양시_재차인원!$K$4:$K$20,0),MATCH(DH$102,고양시_재차인원!$K$4:$O$4,0))</f>
        <v>0.5328923496479816</v>
      </c>
      <c r="DI109" s="267">
        <f>INDEX($AO$101:$BB$115,MATCH($CW109,$L$101:$L$115,0),MATCH(DI$102,$AO$102:$BB$102,0))/INDEX(고양시_재차인원!$D$4:$H$35,MATCH("고양시",고양시_재차인원!$B$4:$B$35,0),MATCH($DF$101,고양시_재차인원!$D$4:$H$4,0))</f>
        <v>12.820351868849887</v>
      </c>
      <c r="DJ109" s="267">
        <f>INDEX($BC$101:$BP$115,MATCH($CW109,$L$101:$L$115,0),MATCH(DJ$102,$BC$102:$BP$102,0))/INDEX(고양시_재차인원!$D$4:$H$35,MATCH("고양시",고양시_재차인원!$B$4:$B$35,0),MATCH($DJ$101,고양시_재차인원!$D$4:$H$4,0))</f>
        <v>0.51753579850488862</v>
      </c>
      <c r="DK109" s="267">
        <f>INDEX($BC$101:$BP$115,MATCH($CW109,$L$101:$L$115,0),MATCH(DK$102,$BC$102:$BP$102,0))/INDEX(고양시_재차인원!$K$4:$O$20,MATCH("경기도",고양시_재차인원!$K$4:$K$20,0),MATCH(DK$102,고양시_재차인원!$K$4:$O$4,0))</f>
        <v>5.1983158117105621E-6</v>
      </c>
      <c r="DL109" s="267">
        <f>INDEX($BC$101:$BP$115,MATCH($CW109,$L$101:$L$115,0),MATCH(DL$102,$BC$102:$BP$102,0))/INDEX(고양시_재차인원!$K$4:$O$20,MATCH("경기도",고양시_재차인원!$K$4:$K$20,0),MATCH(DL$102,고양시_재차인원!$K$4:$O$4,0))</f>
        <v>1.4451317956555359E-3</v>
      </c>
      <c r="DM109" s="267">
        <f>INDEX($BC$101:$BP$115,MATCH($CW109,$L$101:$L$115,0),MATCH(DM$102,$BC$102:$BP$102,0))/INDEX(고양시_재차인원!$D$4:$H$35,MATCH("고양시",고양시_재차인원!$B$4:$B$35,0),MATCH($DJ$101,고양시_재차인원!$D$4:$H$4,0))</f>
        <v>3.3233215213369416E-2</v>
      </c>
      <c r="DN109" s="267">
        <f>INDEX($BQ$101:$CD$115,MATCH($CW109,$L$101:$L$115,0),MATCH(DN$102,$BQ$102:$CD$102,0))/INDEX(고양시_재차인원!$D$4:$H$35,MATCH("고양시",고양시_재차인원!$B$4:$B$35,0),MATCH($DN$101,고양시_재차인원!$D$4:$H$4,0))</f>
        <v>1.5827285266445932</v>
      </c>
      <c r="DO109" s="267">
        <f>INDEX($BQ$101:$CD$115,MATCH($CW109,$L$101:$L$115,0),MATCH(DO$102,$BQ$102:$CD$102,0))/INDEX(고양시_재차인원!$K$4:$O$20,MATCH("경기도",고양시_재차인원!$K$4:$K$20,0),MATCH(DO$102,고양시_재차인원!$K$4:$O$4,0))</f>
        <v>1.4728561466513379E-5</v>
      </c>
      <c r="DP109" s="267">
        <f>INDEX($BQ$101:$CD$115,MATCH($CW109,$L$101:$L$115,0),MATCH(DP$102,$BQ$102:$CD$102,0))/INDEX(고양시_재차인원!$K$4:$O$20,MATCH("경기도",고양시_재차인원!$K$4:$K$20,0),MATCH(DP$102,고양시_재차인원!$K$4:$O$4,0))</f>
        <v>4.0945400876907191E-3</v>
      </c>
      <c r="DQ109" s="267">
        <f>INDEX($BQ$101:$CD$115,MATCH($CW109,$L$101:$L$115,0),MATCH(DQ$102,$BQ$102:$CD$102,0))/INDEX(고양시_재차인원!$D$4:$H$35,MATCH("고양시",고양시_재차인원!$B$4:$B$35,0),MATCH($DN$101,고양시_재차인원!$D$4:$H$4,0))</f>
        <v>0.10163385393295067</v>
      </c>
      <c r="DR109" s="270">
        <f t="shared" si="53"/>
        <v>5026.8622258984369</v>
      </c>
      <c r="DS109" s="270">
        <f t="shared" si="48"/>
        <v>5.0743792988997213E-2</v>
      </c>
      <c r="DT109" s="270">
        <f t="shared" si="48"/>
        <v>14.106774450941225</v>
      </c>
      <c r="DU109" s="270">
        <f t="shared" si="48"/>
        <v>322.79659626224287</v>
      </c>
      <c r="DW109" s="278"/>
      <c r="DX109" s="278" t="s">
        <v>301</v>
      </c>
      <c r="DY109" s="281">
        <f t="shared" si="54"/>
        <v>5349.6588221606798</v>
      </c>
      <c r="DZ109" s="281">
        <f t="shared" si="55"/>
        <v>14.157518243930223</v>
      </c>
      <c r="EB109" s="278"/>
      <c r="EC109" s="278" t="s">
        <v>301</v>
      </c>
      <c r="ED109" s="281">
        <f t="shared" si="56"/>
        <v>5349.6588221606798</v>
      </c>
      <c r="EE109" s="281">
        <f t="shared" si="49"/>
        <v>14.157518243930223</v>
      </c>
      <c r="EL109" s="306" t="s">
        <v>12</v>
      </c>
      <c r="EM109" s="306" t="s">
        <v>363</v>
      </c>
      <c r="EN109" s="306">
        <v>10963.124400000001</v>
      </c>
      <c r="EO109" s="306">
        <v>0.16368976107840044</v>
      </c>
      <c r="EP109" s="307">
        <v>849107</v>
      </c>
      <c r="EQ109" s="308">
        <f t="shared" si="57"/>
        <v>32.431627806836254</v>
      </c>
      <c r="ER109" s="308">
        <f t="shared" si="58"/>
        <v>8.5828157947872991E-2</v>
      </c>
      <c r="ET109" s="420" t="s">
        <v>12</v>
      </c>
      <c r="EU109" s="420" t="s">
        <v>363</v>
      </c>
      <c r="EV109" s="420">
        <v>10963.124400000001</v>
      </c>
      <c r="EW109" s="420">
        <v>0.16368976107840044</v>
      </c>
      <c r="EX109" s="421">
        <v>849107</v>
      </c>
      <c r="EY109" s="422">
        <f t="shared" si="59"/>
        <v>31.507326414341421</v>
      </c>
      <c r="EZ109" s="422">
        <f t="shared" si="60"/>
        <v>8.3382055446358613E-2</v>
      </c>
      <c r="FA109">
        <v>0</v>
      </c>
      <c r="FD109" s="306" t="s">
        <v>12</v>
      </c>
      <c r="FE109" s="306" t="s">
        <v>363</v>
      </c>
      <c r="FF109" s="306">
        <v>10963.124400000001</v>
      </c>
      <c r="FG109" s="306">
        <v>0.16368976107840044</v>
      </c>
      <c r="FH109" s="307">
        <v>849107</v>
      </c>
      <c r="FI109" s="308">
        <f t="shared" si="61"/>
        <v>31.507326414341421</v>
      </c>
      <c r="FJ109" s="308">
        <f t="shared" si="50"/>
        <v>8.3382055446358613E-2</v>
      </c>
      <c r="FL109" s="101"/>
      <c r="FM109" s="101"/>
      <c r="FN109" s="101"/>
      <c r="FO109" s="101"/>
      <c r="FP109" s="374"/>
      <c r="FQ109" s="404"/>
      <c r="FR109" s="404"/>
    </row>
    <row r="110" spans="1:174">
      <c r="A110" s="205"/>
      <c r="B110" s="205" t="s">
        <v>302</v>
      </c>
      <c r="C110" s="400">
        <f>$AB68*KTDB_TripDistribution_2040!L$12 * (1+KTDB_발생량도착량_증가율!$C$8*2) * (1+KTDB_발생량도착량_증가율!$D$7*5) * (1+KTDB_발생량도착량_증가율!$E$7*5) * (1+KTDB_발생량도착량_증가율!$F$7*5)</f>
        <v>19.080006269013314</v>
      </c>
      <c r="D110" s="400">
        <f>$AB68*KTDB_TripDistribution_2040!M$12 * (1+KTDB_발생량도착량_증가율!$C$8*2) * (1+KTDB_발생량도착량_증가율!$D$7*5) * (1+KTDB_발생량도착량_증가율!$E$7*5) * (1+KTDB_발생량도착량_증가율!$F$7*5)</f>
        <v>148.36867314500668</v>
      </c>
      <c r="E110" s="400">
        <f>$AB68*KTDB_TripDistribution_2040!N$12 * (1+KTDB_발생량도착량_증가율!$C$8*2) * (1+KTDB_발생량도착량_증가율!$D$7*5) * (1+KTDB_발생량도착량_증가율!$E$7*5) * (1+KTDB_발생량도착량_증가율!$F$7*5)</f>
        <v>6.5764938261710357</v>
      </c>
      <c r="F110" s="400">
        <f>$AB68*KTDB_TripDistribution_2040!O$12 * (1+KTDB_발생량도착량_증가율!$C$8*2) * (1+KTDB_발생량도착량_증가율!$D$7*5) * (1+KTDB_발생량도착량_증가율!$E$7*5) * (1+KTDB_발생량도착량_증가율!$F$7*5)</f>
        <v>1.7834559528599331E-2</v>
      </c>
      <c r="G110" s="400">
        <f>$AB68*KTDB_TripDistribution_2040!P$12 * (1+KTDB_발생량도착량_증가율!$C$8*2) * (1+KTDB_발생량도착량_증가율!$D$7*5) * (1+KTDB_발생량도착량_증가율!$E$7*5) * (1+KTDB_발생량도착량_증가율!$F$7*5)</f>
        <v>5.0531251997698499E-2</v>
      </c>
      <c r="H110" s="400">
        <f>$AB68*KTDB_TripDistribution_2040!Q$12 * (1+KTDB_발생량도착량_증가율!$C$8*2) * (1+KTDB_발생량도착량_증가율!$D$7*5) * (1+KTDB_발생량도착량_증가율!$E$7*5) * (1+KTDB_발생량도착량_증가율!$F$7*5)</f>
        <v>174.09353905171727</v>
      </c>
      <c r="I110" s="56"/>
      <c r="J110" s="56"/>
      <c r="K110" s="206"/>
      <c r="L110" s="206" t="s">
        <v>302</v>
      </c>
      <c r="M110" s="206">
        <f>INDEX($A$102:$H$115,MATCH($L110,$B$102:$B$115,0),MATCH($M$101,$A$102:$H$102,0))*고양시_Modal_split!C$3 * 0.01</f>
        <v>5.342401755323728E-2</v>
      </c>
      <c r="N110" s="206">
        <f>INDEX($A$102:$H$115,MATCH($L110,$B$102:$B$115,0),MATCH($M$101,$A$102:$H$102,0))*고양시_Modal_split!D$3 * 0.01</f>
        <v>8.9733269483169611</v>
      </c>
      <c r="O110" s="206">
        <f>INDEX($A$102:$H$115,MATCH($L110,$B$102:$B$115,0),MATCH($M$101,$A$102:$H$102,0))*고양시_Modal_split!E$3 * 0.01</f>
        <v>1.0856523567068574</v>
      </c>
      <c r="P110" s="206">
        <f>INDEX($A$102:$H$115,MATCH($L110,$B$102:$B$115,0),MATCH($M$101,$A$102:$H$102,0))*고양시_Modal_split!F$3 * 0.01</f>
        <v>1.749636574868521</v>
      </c>
      <c r="Q110" s="206">
        <f>INDEX($A$102:$H$115,MATCH($L110,$B$102:$B$115,0),MATCH($M$101,$A$102:$H$102,0))*고양시_Modal_split!G$3 * 0.01</f>
        <v>0.17553605767492247</v>
      </c>
      <c r="R110" s="206">
        <f>INDEX($A$102:$H$115,MATCH($L110,$B$102:$B$115,0),MATCH($M$101,$A$102:$H$102,0))*고양시_Modal_split!H$3 * 0.01</f>
        <v>1.9080006269013314E-3</v>
      </c>
      <c r="S110" s="206">
        <f>INDEX($A$102:$H$115,MATCH($L110,$B$102:$B$115,0),MATCH($M$101,$A$102:$H$102,0))*고양시_Modal_split!I$3 * 0.01</f>
        <v>0.53042417427857014</v>
      </c>
      <c r="T110" s="206">
        <f>INDEX($A$102:$H$115,MATCH($L110,$B$102:$B$115,0),MATCH($M$101,$A$102:$H$102,0))*고양시_Modal_split!J$3 * 0.01</f>
        <v>5.8079539082876535</v>
      </c>
      <c r="U110" s="206">
        <f>INDEX($A$102:$H$115,MATCH($L110,$B$102:$B$115,0),MATCH($M$101,$A$102:$H$102,0))*고양시_Modal_split!K$3 * 0.01</f>
        <v>2.8620009403519969E-2</v>
      </c>
      <c r="V110" s="206">
        <f>INDEX($A$102:$H$115,MATCH($L110,$B$102:$B$115,0),MATCH($M$101,$A$102:$H$102,0))*고양시_Modal_split!L$3 * 0.01</f>
        <v>0.57621618932420204</v>
      </c>
      <c r="W110" s="206">
        <f>INDEX($A$102:$H$115,MATCH($L110,$B$102:$B$115,0),MATCH($M$101,$A$102:$H$102,0))*고양시_Modal_split!M$3 * 0.01</f>
        <v>4.3884014418730619E-2</v>
      </c>
      <c r="X110" s="206">
        <f>INDEX($A$102:$H$115,MATCH($L110,$B$102:$B$115,0),MATCH($M$101,$A$102:$H$102,0))*고양시_Modal_split!N$3 * 0.01</f>
        <v>1.9080006269013315E-2</v>
      </c>
      <c r="Y110" s="206">
        <f>INDEX($A$102:$H$115,MATCH($L110,$B$102:$B$115,0),MATCH($M$101,$A$102:$H$102,0))*고양시_Modal_split!O$3 * 0.01</f>
        <v>3.4344011284223964E-2</v>
      </c>
      <c r="Z110" s="209">
        <f>INDEX($A$102:$H$115,MATCH($L110,$B$102:$B$115,0),MATCH($M$101,$A$102:$H$102,0))*고양시_Modal_split!P$3 * 0.01</f>
        <v>19.080006269013314</v>
      </c>
      <c r="AA110" s="207">
        <f>INDEX($A$102:$H$115,MATCH($L110,$B$102:$B$115,0),MATCH($AA$101,$A$102:$H$102,0))*고양시_Modal_split!C$3 * 0.01</f>
        <v>0.41543228480601868</v>
      </c>
      <c r="AB110" s="207">
        <f>INDEX($A$102:$H$115,MATCH($L110,$B$102:$B$115,0),MATCH($AA$101,$A$102:$H$102,0))*고양시_Modal_split!D$3 * 0.01</f>
        <v>69.77778698009665</v>
      </c>
      <c r="AC110" s="207">
        <f>INDEX($A$102:$H$115,MATCH($L110,$B$102:$B$115,0),MATCH($AA$101,$A$102:$H$102,0))*고양시_Modal_split!E$3 * 0.01</f>
        <v>8.4421775019508782</v>
      </c>
      <c r="AD110" s="207">
        <f>INDEX($A$102:$H$115,MATCH($L110,$B$102:$B$115,0),MATCH($AA$101,$A$102:$H$102,0))*고양시_Modal_split!F$3 * 0.01</f>
        <v>13.605407327397113</v>
      </c>
      <c r="AE110" s="207">
        <f>INDEX($A$102:$H$115,MATCH($L110,$B$102:$B$115,0),MATCH($AA$101,$A$102:$H$102,0))*고양시_Modal_split!G$3 * 0.01</f>
        <v>1.3649917929340614</v>
      </c>
      <c r="AF110" s="207">
        <f>INDEX($A$102:$H$115,MATCH($L110,$B$102:$B$115,0),MATCH($AA$101,$A$102:$H$102,0))*고양시_Modal_split!H$3 * 0.01</f>
        <v>1.4836867314500669E-2</v>
      </c>
      <c r="AG110" s="207">
        <f>INDEX($A$102:$H$115,MATCH($L110,$B$102:$B$115,0),MATCH($AA$101,$A$102:$H$102,0))*고양시_Modal_split!I$3 * 0.01</f>
        <v>4.124649113431186</v>
      </c>
      <c r="AH110" s="207">
        <f>INDEX($A$102:$H$115,MATCH($L110,$B$102:$B$115,0),MATCH($AA$101,$A$102:$H$102,0))*고양시_Modal_split!J$3 * 0.01</f>
        <v>45.163424105340034</v>
      </c>
      <c r="AI110" s="207">
        <f>INDEX($A$102:$H$115,MATCH($L110,$B$102:$B$115,0),MATCH($AA$101,$A$102:$H$102,0))*고양시_Modal_split!K$3 * 0.01</f>
        <v>0.22255300971751002</v>
      </c>
      <c r="AJ110" s="207">
        <f>INDEX($A$102:$H$115,MATCH($L110,$B$102:$B$115,0),MATCH($AA$101,$A$102:$H$102,0))*고양시_Modal_split!L$3 * 0.01</f>
        <v>4.4807339289792019</v>
      </c>
      <c r="AK110" s="207">
        <f>INDEX($A$102:$H$115,MATCH($L110,$B$102:$B$115,0),MATCH($AA$101,$A$102:$H$102,0))*고양시_Modal_split!M$3 * 0.01</f>
        <v>0.34124794823351534</v>
      </c>
      <c r="AL110" s="207">
        <f>INDEX($A$102:$H$115,MATCH($L110,$B$102:$B$115,0),MATCH($AA$101,$A$102:$H$102,0))*고양시_Modal_split!N$3 * 0.01</f>
        <v>0.14836867314500668</v>
      </c>
      <c r="AM110" s="207">
        <f>INDEX($A$102:$H$115,MATCH($L110,$B$102:$B$115,0),MATCH($AA$101,$A$102:$H$102,0))*고양시_Modal_split!O$3 * 0.01</f>
        <v>0.26706361166101206</v>
      </c>
      <c r="AN110" s="207">
        <f>INDEX($A$102:$H$115,MATCH($L110,$B$102:$B$115,0),MATCH($AA$101,$A$102:$H$102,0))*고양시_Modal_split!P$3 * 0.01</f>
        <v>148.36867314500668</v>
      </c>
      <c r="AO110" s="303">
        <f>INDEX($A$102:$H$115,MATCH($L110,$B$102:$B$115,0),MATCH($AO$101,$A$102:$H$102,0))*고양시_Modal_split!C$3 * 0.01</f>
        <v>1.8414182713278899E-2</v>
      </c>
      <c r="AP110" s="303">
        <f>INDEX($A$102:$H$115,MATCH($L110,$B$102:$B$115,0),MATCH($AO$101,$A$102:$H$102,0))*고양시_Modal_split!D$3 * 0.01</f>
        <v>3.0929250464482378</v>
      </c>
      <c r="AQ110" s="303">
        <f>INDEX($A$102:$H$115,MATCH($L110,$B$102:$B$115,0),MATCH($AO$101,$A$102:$H$102,0))*고양시_Modal_split!E$3 * 0.01</f>
        <v>0.37420249870913191</v>
      </c>
      <c r="AR110" s="303">
        <f>INDEX($A$102:$H$115,MATCH($L110,$B$102:$B$115,0),MATCH($AO$101,$A$102:$H$102,0))*고양시_Modal_split!F$3 * 0.01</f>
        <v>0.60306448385988398</v>
      </c>
      <c r="AS110" s="303">
        <f>INDEX($A$102:$H$115,MATCH($L110,$B$102:$B$115,0),MATCH($AO$101,$A$102:$H$102,0))*고양시_Modal_split!G$3 * 0.01</f>
        <v>6.0503743200773528E-2</v>
      </c>
      <c r="AT110" s="303">
        <f>INDEX($A$102:$H$115,MATCH($L110,$B$102:$B$115,0),MATCH($AO$101,$A$102:$H$102,0))*고양시_Modal_split!H$3 * 0.01</f>
        <v>6.5764938261710353E-4</v>
      </c>
      <c r="AU110" s="303">
        <f>INDEX($A$102:$H$115,MATCH($L110,$B$102:$B$115,0),MATCH($AO$101,$A$102:$H$102,0))*고양시_Modal_split!I$3 * 0.01</f>
        <v>0.18282652836755478</v>
      </c>
      <c r="AV110" s="303">
        <f>INDEX($A$102:$H$115,MATCH($L110,$B$102:$B$115,0),MATCH($AO$101,$A$102:$H$102,0))*고양시_Modal_split!J$3 * 0.01</f>
        <v>2.0018847206864634</v>
      </c>
      <c r="AW110" s="303">
        <f>INDEX($A$102:$H$115,MATCH($L110,$B$102:$B$115,0),MATCH($AO$101,$A$102:$H$102,0))*고양시_Modal_split!K$3 * 0.01</f>
        <v>9.8647407392565539E-3</v>
      </c>
      <c r="AX110" s="303">
        <f>INDEX($A$102:$H$115,MATCH($L110,$B$102:$B$115,0),MATCH($AO$101,$A$102:$H$102,0))*고양시_Modal_split!L$3 * 0.01</f>
        <v>0.19861011355036529</v>
      </c>
      <c r="AY110" s="303">
        <f>INDEX($A$102:$H$115,MATCH($L110,$B$102:$B$115,0),MATCH($AO$101,$A$102:$H$102,0))*고양시_Modal_split!M$3 * 0.01</f>
        <v>1.5125935800193382E-2</v>
      </c>
      <c r="AZ110" s="303">
        <f>INDEX($A$102:$H$115,MATCH($L110,$B$102:$B$115,0),MATCH($AO$101,$A$102:$H$102,0))*고양시_Modal_split!N$3 * 0.01</f>
        <v>6.5764938261710362E-3</v>
      </c>
      <c r="BA110" s="207">
        <f>INDEX($A$102:$H$115,MATCH($L110,$B$102:$B$115,0),MATCH($AO$101,$A$102:$H$102,0))*고양시_Modal_split!O$3 * 0.01</f>
        <v>1.1837688887107865E-2</v>
      </c>
      <c r="BB110" s="207">
        <f>INDEX($A$102:$H$115,MATCH($L110,$B$102:$B$115,0),MATCH($AO$101,$A$102:$H$102,0))*고양시_Modal_split!P$3 * 0.01</f>
        <v>6.5764938261710357</v>
      </c>
      <c r="BC110" s="207">
        <f>INDEX($A$102:$H$115,MATCH($L110,$B$102:$B$115,0),MATCH($BC$101,$A$102:$H$102,0))*고양시_Modal_split!C$3 * 0.01</f>
        <v>4.9936766680078125E-5</v>
      </c>
      <c r="BD110" s="207">
        <f>INDEX($A$102:$H$115,MATCH($L110,$B$102:$B$115,0),MATCH($BC$101,$A$102:$H$102,0))*고양시_Modal_split!D$3 * 0.01</f>
        <v>8.387593346300265E-3</v>
      </c>
      <c r="BE110" s="207">
        <f>INDEX($A$102:$H$115,MATCH($L110,$B$102:$B$115,0),MATCH($BC$101,$A$102:$H$102,0))*고양시_Modal_split!E$3 * 0.01</f>
        <v>1.0147864371773019E-3</v>
      </c>
      <c r="BF110" s="207">
        <f>INDEX($A$102:$H$115,MATCH($L110,$B$102:$B$115,0),MATCH($BC$101,$A$102:$H$102,0))*고양시_Modal_split!F$3 * 0.01</f>
        <v>1.6354291087725588E-3</v>
      </c>
      <c r="BG110" s="207">
        <f>INDEX($A$102:$H$115,MATCH($L110,$B$102:$B$115,0),MATCH($BC$101,$A$102:$H$102,0))*고양시_Modal_split!G$3 * 0.01</f>
        <v>1.6407794766311383E-4</v>
      </c>
      <c r="BH110" s="207">
        <f>INDEX($A$102:$H$115,MATCH($L110,$B$102:$B$115,0),MATCH($BC$101,$A$102:$H$102,0))*고양시_Modal_split!H$3 * 0.01</f>
        <v>1.7834559528599333E-6</v>
      </c>
      <c r="BI110" s="207">
        <f>INDEX($A$102:$H$115,MATCH($L110,$B$102:$B$115,0),MATCH($BC$101,$A$102:$H$102,0))*고양시_Modal_split!I$3 * 0.01</f>
        <v>4.9580075489506141E-4</v>
      </c>
      <c r="BJ110" s="207">
        <f>INDEX($A$102:$H$115,MATCH($L110,$B$102:$B$115,0),MATCH($BC$101,$A$102:$H$102,0))*고양시_Modal_split!J$3 * 0.01</f>
        <v>5.4288399205056374E-3</v>
      </c>
      <c r="BK110" s="207">
        <f>INDEX($A$102:$H$115,MATCH($L110,$B$102:$B$115,0),MATCH($BC$101,$A$102:$H$102,0))*고양시_Modal_split!K$3 * 0.01</f>
        <v>2.6751839292898996E-5</v>
      </c>
      <c r="BL110" s="207">
        <f>INDEX($A$102:$H$115,MATCH($L110,$B$102:$B$115,0),MATCH($BC$101,$A$102:$H$102,0))*고양시_Modal_split!L$3 * 0.01</f>
        <v>5.3860369776369981E-4</v>
      </c>
      <c r="BM110" s="207">
        <f>INDEX($A$102:$H$115,MATCH($L110,$B$102:$B$115,0),MATCH($BC$101,$A$102:$H$102,0))*고양시_Modal_split!M$3 * 0.01</f>
        <v>4.1019486915778457E-5</v>
      </c>
      <c r="BN110" s="207">
        <f>INDEX($A$102:$H$115,MATCH($L110,$B$102:$B$115,0),MATCH($BC$101,$A$102:$H$102,0))*고양시_Modal_split!N$3 * 0.01</f>
        <v>1.7834559528599332E-5</v>
      </c>
      <c r="BO110" s="207">
        <f>INDEX($A$102:$H$115,MATCH($L110,$B$102:$B$115,0),MATCH($BC$101,$A$102:$H$102,0))*고양시_Modal_split!O$3 * 0.01</f>
        <v>3.2102207151478796E-5</v>
      </c>
      <c r="BP110" s="207">
        <f>INDEX($A$102:$H$115,MATCH($L110,$B$102:$B$115,0),MATCH($BC$101,$A$102:$H$102,0))*고양시_Modal_split!P$3 * 0.01</f>
        <v>1.7834559528599331E-2</v>
      </c>
      <c r="BQ110" s="207">
        <f>INDEX($A$102:$H$115,MATCH($L110,$B$102:$B$115,0),MATCH($BQ$101,$A$102:$H$102,0))*고양시_Modal_split!C$3 * 0.01</f>
        <v>1.414875055935558E-4</v>
      </c>
      <c r="BR110" s="207">
        <f>INDEX($A$102:$H$115,MATCH($L110,$B$102:$B$115,0),MATCH($BQ$101,$A$102:$H$102,0))*고양시_Modal_split!D$3 * 0.01</f>
        <v>2.3764847814517608E-2</v>
      </c>
      <c r="BS110" s="207">
        <f>INDEX($A$102:$H$115,MATCH($L110,$B$102:$B$115,0),MATCH($BQ$101,$A$102:$H$102,0))*고양시_Modal_split!E$3 * 0.01</f>
        <v>2.8752282386690442E-3</v>
      </c>
      <c r="BT110" s="207">
        <f>INDEX($A$102:$H$115,MATCH($L110,$B$102:$B$115,0),MATCH($BQ$101,$A$102:$H$102,0))*고양시_Modal_split!F$3 * 0.01</f>
        <v>4.6337158081889524E-3</v>
      </c>
      <c r="BU110" s="207">
        <f>INDEX($A$102:$H$115,MATCH($L110,$B$102:$B$115,0),MATCH($BQ$101,$A$102:$H$102,0))*고양시_Modal_split!G$3 * 0.01</f>
        <v>4.6488751837882617E-4</v>
      </c>
      <c r="BV110" s="207">
        <f>INDEX($A$102:$H$115,MATCH($L110,$B$102:$B$115,0),MATCH($BQ$101,$A$102:$H$102,0))*고양시_Modal_split!H$3 * 0.01</f>
        <v>5.05312519976985E-6</v>
      </c>
      <c r="BW110" s="207">
        <f>INDEX($A$102:$H$115,MATCH($L110,$B$102:$B$115,0),MATCH($BQ$101,$A$102:$H$102,0))*고양시_Modal_split!I$3 * 0.01</f>
        <v>1.4047688055360183E-3</v>
      </c>
      <c r="BX110" s="207">
        <f>INDEX($A$102:$H$115,MATCH($L110,$B$102:$B$115,0),MATCH($BQ$101,$A$102:$H$102,0))*고양시_Modal_split!J$3 * 0.01</f>
        <v>1.5381713108099425E-2</v>
      </c>
      <c r="BY110" s="207">
        <f>INDEX($A$102:$H$115,MATCH($L110,$B$102:$B$115,0),MATCH($BQ$101,$A$102:$H$102,0))*고양시_Modal_split!K$3 * 0.01</f>
        <v>7.5796877996547744E-5</v>
      </c>
      <c r="BZ110" s="207">
        <f>INDEX($A$102:$H$115,MATCH($L110,$B$102:$B$115,0),MATCH($BQ$101,$A$102:$H$102,0))*고양시_Modal_split!L$3 * 0.01</f>
        <v>1.5260438103304947E-3</v>
      </c>
      <c r="CA110" s="207">
        <f>INDEX($A$102:$H$115,MATCH($L110,$B$102:$B$115,0),MATCH($BQ$101,$A$102:$H$102,0))*고양시_Modal_split!M$3 * 0.01</f>
        <v>1.1622187959470654E-4</v>
      </c>
      <c r="CB110" s="207">
        <f>INDEX($A$102:$H$115,MATCH($L110,$B$102:$B$115,0),MATCH($BQ$101,$A$102:$H$102,0))*고양시_Modal_split!N$3 * 0.01</f>
        <v>5.0531251997698507E-5</v>
      </c>
      <c r="CC110" s="207">
        <f>INDEX($A$102:$H$115,MATCH($L110,$B$102:$B$115,0),MATCH($BQ$101,$A$102:$H$102,0))*고양시_Modal_split!O$3 * 0.01</f>
        <v>9.0956253595857287E-5</v>
      </c>
      <c r="CD110" s="207">
        <f>INDEX($A$102:$H$115,MATCH($L110,$B$102:$B$115,0),MATCH($BQ$101,$A$102:$H$102,0))*고양시_Modal_split!P$3 * 0.01</f>
        <v>5.0531251997698499E-2</v>
      </c>
      <c r="CE110" s="304">
        <f t="shared" si="51"/>
        <v>0.48746190934480849</v>
      </c>
      <c r="CF110" s="304">
        <f t="shared" si="47"/>
        <v>81.876191416022678</v>
      </c>
      <c r="CG110" s="304">
        <f t="shared" si="47"/>
        <v>9.9059223720427134</v>
      </c>
      <c r="CH110" s="304">
        <f t="shared" si="47"/>
        <v>15.96437753104248</v>
      </c>
      <c r="CI110" s="304">
        <f t="shared" si="47"/>
        <v>1.6016605592757993</v>
      </c>
      <c r="CJ110" s="304">
        <f t="shared" si="47"/>
        <v>1.7409353905171735E-2</v>
      </c>
      <c r="CK110" s="304">
        <f t="shared" si="47"/>
        <v>4.8398003856377416</v>
      </c>
      <c r="CL110" s="304">
        <f t="shared" si="47"/>
        <v>52.994073287342751</v>
      </c>
      <c r="CM110" s="304">
        <f t="shared" si="47"/>
        <v>0.26114030857757592</v>
      </c>
      <c r="CN110" s="304">
        <f t="shared" si="47"/>
        <v>5.2576248793618632</v>
      </c>
      <c r="CO110" s="304">
        <f t="shared" si="47"/>
        <v>0.40041513981894983</v>
      </c>
      <c r="CP110" s="304">
        <f t="shared" si="47"/>
        <v>0.17409353905171734</v>
      </c>
      <c r="CQ110" s="304">
        <f t="shared" si="47"/>
        <v>0.31336837029309123</v>
      </c>
      <c r="CR110" s="304">
        <f t="shared" si="47"/>
        <v>174.09353905171736</v>
      </c>
      <c r="CS110" s="305">
        <f t="shared" si="52"/>
        <v>0</v>
      </c>
      <c r="CV110" s="267"/>
      <c r="CW110" s="267" t="s">
        <v>302</v>
      </c>
      <c r="CX110" s="267">
        <f>INDEX($M$101:$Z$115,MATCH($CW110,$L$101:$L$115,0),MATCH(CX$102,$M$102:$Z$102,0))/INDEX(고양시_재차인원!$D$4:$H$35,MATCH("고양시",고양시_재차인원!$B$4:$B$35,0),MATCH($CX$101,고양시_재차인원!$D$4:$H$4,0))</f>
        <v>8.0118990609972851</v>
      </c>
      <c r="CY110" s="267">
        <f>INDEX($M$101:$Z$115,MATCH($CW110,$L$101:$L$115,0),MATCH(CY$102,$M$102:$Z$102,0))/INDEX(고양시_재차인원!$K$4:$O$20,MATCH("경기도",고양시_재차인원!$K$4:$K$20,0),MATCH(CY$102,고양시_재차인원!$K$4:$O$4,0))</f>
        <v>6.6273033237281397E-5</v>
      </c>
      <c r="CZ110" s="267">
        <f>INDEX($M$101:$Z$115,MATCH($CW110,$L$101:$L$115,0),MATCH(CZ$102,$M$102:$Z$102,0))/INDEX(고양시_재차인원!$K$4:$O$20,MATCH("경기도",고양시_재차인원!$K$4:$K$20,0),MATCH(CZ$102,고양시_재차인원!$K$4:$O$4,0))</f>
        <v>1.8423903239964227E-2</v>
      </c>
      <c r="DA110" s="267">
        <f>INDEX($M$101:$Z$115,MATCH($CW110,$L$101:$L$115,0),MATCH(DA$102,$M$102:$Z$102,0))/INDEX(고양시_재차인원!$D$4:$H$35,MATCH("고양시",고양시_재차인원!$B$4:$B$35,0),MATCH($CX$101,고양시_재차인원!$D$4:$H$4,0))</f>
        <v>0.51447874046803754</v>
      </c>
      <c r="DB110" s="267">
        <f>INDEX($AA$101:$AN$115,MATCH($CW110,$L$101:$L$115,0),MATCH(DB$102,$AA$102:$AN$102,0))/INDEX(고양시_재차인원!$D$4:$H$35,MATCH("고양시",고양시_재차인원!$B$4:$B$35,0),MATCH($DB$101,고양시_재차인원!$D$4:$H$4,0))</f>
        <v>49.487792184465711</v>
      </c>
      <c r="DC110" s="267">
        <f>INDEX($AA$101:$AN$115,MATCH($CW110,$L$101:$L$115,0),MATCH(DC$102,$AA$102:$AN$102,0))/INDEX(고양시_재차인원!$K$4:$O$20,MATCH("경기도",고양시_재차인원!$K$4:$K$20,0),MATCH(DC$102,고양시_재차인원!$K$4:$O$4,0))</f>
        <v>5.1534794423413227E-4</v>
      </c>
      <c r="DD110" s="267">
        <f>INDEX($AA$101:$AN$115,MATCH($CW110,$L$101:$L$115,0),MATCH(DD$102,$AA$102:$AN$102,0))/INDEX(고양시_재차인원!$K$4:$O$20,MATCH("경기도",고양시_재차인원!$K$4:$K$20,0),MATCH(DD$102,고양시_재차인원!$K$4:$O$4,0))</f>
        <v>0.1432667284970888</v>
      </c>
      <c r="DE110" s="267">
        <f>INDEX($AA$101:$AN$115,MATCH($CW110,$L$101:$L$115,0),MATCH(DE$102,$AA$102:$AN$102,0))/INDEX(고양시_재차인원!$D$4:$H$35,MATCH("고양시",고양시_재차인원!$B$4:$B$35,0),MATCH($DB$101,고양시_재차인원!$D$4:$H$4,0))</f>
        <v>3.1778254815455336</v>
      </c>
      <c r="DF110" s="267">
        <f>INDEX($AO$101:$BB$115,MATCH($CW110,$L$101:$L$115,0),MATCH(DF$102,$AO$102:$BB$102,0))/INDEX(고양시_재차인원!$D$4:$H$35,MATCH("고양시",고양시_재차인원!$B$4:$B$35,0),MATCH($DF$101,고양시_재차인원!$D$4:$H$4,0))</f>
        <v>2.3791731126524907</v>
      </c>
      <c r="DG110" s="267">
        <f>INDEX($AO$101:$BB$115,MATCH($CW110,$L$101:$L$115,0),MATCH(DG$102,$AO$102:$BB$102,0))/INDEX(고양시_재차인원!$K$4:$O$20,MATCH("경기도",고양시_재차인원!$K$4:$K$20,0),MATCH(DG$102,고양시_재차인원!$K$4:$O$4,0))</f>
        <v>2.2842979597676399E-5</v>
      </c>
      <c r="DH110" s="267">
        <f>INDEX($AO$101:$BB$115,MATCH($CW110,$L$101:$L$115,0),MATCH(DH$102,$AO$102:$BB$102,0))/INDEX(고양시_재차인원!$K$4:$O$20,MATCH("경기도",고양시_재차인원!$K$4:$K$20,0),MATCH(DH$102,고양시_재차인원!$K$4:$O$4,0))</f>
        <v>6.3503483281540391E-3</v>
      </c>
      <c r="DI110" s="267">
        <f>INDEX($AO$101:$BB$115,MATCH($CW110,$L$101:$L$115,0),MATCH(DI$102,$AO$102:$BB$102,0))/INDEX(고양시_재차인원!$D$4:$H$35,MATCH("고양시",고양시_재차인원!$B$4:$B$35,0),MATCH($DF$101,고양시_재차인원!$D$4:$H$4,0))</f>
        <v>0.1527770104233579</v>
      </c>
      <c r="DJ110" s="267">
        <f>INDEX($BC$101:$BP$115,MATCH($CW110,$L$101:$L$115,0),MATCH(DJ$102,$BC$102:$BP$102,0))/INDEX(고양시_재차인원!$D$4:$H$35,MATCH("고양시",고양시_재차인원!$B$4:$B$35,0),MATCH($DJ$101,고양시_재차인원!$D$4:$H$4,0))</f>
        <v>6.1673480487501944E-3</v>
      </c>
      <c r="DK110" s="267">
        <f>INDEX($BC$101:$BP$115,MATCH($CW110,$L$101:$L$115,0),MATCH(DK$102,$BC$102:$BP$102,0))/INDEX(고양시_재차인원!$K$4:$O$20,MATCH("경기도",고양시_재차인원!$K$4:$K$20,0),MATCH(DK$102,고양시_재차인원!$K$4:$O$4,0))</f>
        <v>6.1947063315732321E-8</v>
      </c>
      <c r="DL110" s="267">
        <f>INDEX($BC$101:$BP$115,MATCH($CW110,$L$101:$L$115,0),MATCH(DL$102,$BC$102:$BP$102,0))/INDEX(고양시_재차인원!$K$4:$O$20,MATCH("경기도",고양시_재차인원!$K$4:$K$20,0),MATCH(DL$102,고양시_재차인원!$K$4:$O$4,0))</f>
        <v>1.7221283601773582E-5</v>
      </c>
      <c r="DM110" s="267">
        <f>INDEX($BC$101:$BP$115,MATCH($CW110,$L$101:$L$115,0),MATCH(DM$102,$BC$102:$BP$102,0))/INDEX(고양시_재차인원!$D$4:$H$35,MATCH("고양시",고양시_재차인원!$B$4:$B$35,0),MATCH($DJ$101,고양시_재차인원!$D$4:$H$4,0))</f>
        <v>3.9603213070860279E-4</v>
      </c>
      <c r="DN110" s="267">
        <f>INDEX($BQ$101:$CD$115,MATCH($CW110,$L$101:$L$115,0),MATCH(DN$102,$BQ$102:$CD$102,0))/INDEX(고양시_재차인원!$D$4:$H$35,MATCH("고양시",고양시_재차인원!$B$4:$B$35,0),MATCH($DN$101,고양시_재차인원!$D$4:$H$4,0))</f>
        <v>1.8860990328982228E-2</v>
      </c>
      <c r="DO110" s="267">
        <f>INDEX($BQ$101:$CD$115,MATCH($CW110,$L$101:$L$115,0),MATCH(DO$102,$BQ$102:$CD$102,0))/INDEX(고양시_재차인원!$K$4:$O$20,MATCH("경기도",고양시_재차인원!$K$4:$K$20,0),MATCH(DO$102,고양시_재차인원!$K$4:$O$4,0))</f>
        <v>1.7551667939457624E-7</v>
      </c>
      <c r="DP110" s="267">
        <f>INDEX($BQ$101:$CD$115,MATCH($CW110,$L$101:$L$115,0),MATCH(DP$102,$BQ$102:$CD$102,0))/INDEX(고양시_재차인원!$K$4:$O$20,MATCH("경기도",고양시_재차인원!$K$4:$K$20,0),MATCH(DP$102,고양시_재차인원!$K$4:$O$4,0))</f>
        <v>4.8793636871692196E-5</v>
      </c>
      <c r="DQ110" s="267">
        <f>INDEX($BQ$101:$CD$115,MATCH($CW110,$L$101:$L$115,0),MATCH(DQ$102,$BQ$102:$CD$102,0))/INDEX(고양시_재차인원!$D$4:$H$35,MATCH("고양시",고양시_재차인원!$B$4:$B$35,0),MATCH($DN$101,고양시_재차인원!$D$4:$H$4,0))</f>
        <v>1.2111458812146783E-3</v>
      </c>
      <c r="DR110" s="270">
        <f t="shared" si="53"/>
        <v>59.903892696493216</v>
      </c>
      <c r="DS110" s="270">
        <f t="shared" si="48"/>
        <v>6.0470142081180047E-4</v>
      </c>
      <c r="DT110" s="270">
        <f t="shared" si="48"/>
        <v>0.16810699498568052</v>
      </c>
      <c r="DU110" s="270">
        <f t="shared" si="48"/>
        <v>3.8466884104488521</v>
      </c>
      <c r="DW110" s="278"/>
      <c r="DX110" s="278" t="s">
        <v>302</v>
      </c>
      <c r="DY110" s="281">
        <f t="shared" si="54"/>
        <v>63.750581106942064</v>
      </c>
      <c r="DZ110" s="281">
        <f t="shared" si="55"/>
        <v>0.16871169640649231</v>
      </c>
      <c r="EB110" s="278"/>
      <c r="EC110" s="278" t="s">
        <v>302</v>
      </c>
      <c r="ED110" s="281">
        <f t="shared" si="56"/>
        <v>63.750581106942064</v>
      </c>
      <c r="EE110" s="281">
        <f t="shared" si="49"/>
        <v>0.16871169640649231</v>
      </c>
      <c r="EL110" s="306" t="s">
        <v>667</v>
      </c>
      <c r="EM110" s="306" t="s">
        <v>568</v>
      </c>
      <c r="EN110" s="306">
        <v>26312.316800000001</v>
      </c>
      <c r="EO110" s="306">
        <v>0.1416840985854132</v>
      </c>
      <c r="EP110" s="307">
        <v>849108</v>
      </c>
      <c r="EQ110" s="308">
        <f t="shared" si="57"/>
        <v>611.3357976732666</v>
      </c>
      <c r="ER110" s="308">
        <f t="shared" si="58"/>
        <v>1.6178597545088367</v>
      </c>
      <c r="ET110" s="420" t="s">
        <v>667</v>
      </c>
      <c r="EU110" s="420" t="s">
        <v>568</v>
      </c>
      <c r="EV110" s="420">
        <v>26312.316800000001</v>
      </c>
      <c r="EW110" s="420">
        <v>0.1416840985854132</v>
      </c>
      <c r="EX110" s="421">
        <v>849108</v>
      </c>
      <c r="EY110" s="422">
        <f t="shared" si="59"/>
        <v>593.91272743957848</v>
      </c>
      <c r="EZ110" s="422">
        <f t="shared" si="60"/>
        <v>1.5717507515053348</v>
      </c>
      <c r="FA110">
        <v>0</v>
      </c>
      <c r="FD110" s="306" t="s">
        <v>667</v>
      </c>
      <c r="FE110" s="306" t="s">
        <v>568</v>
      </c>
      <c r="FF110" s="306">
        <v>26312.316800000001</v>
      </c>
      <c r="FG110" s="306">
        <v>0.1416840985854132</v>
      </c>
      <c r="FH110" s="307">
        <v>849108</v>
      </c>
      <c r="FI110" s="308">
        <f t="shared" si="61"/>
        <v>593.91272743957848</v>
      </c>
      <c r="FJ110" s="308">
        <f t="shared" si="50"/>
        <v>1.5717507515053348</v>
      </c>
      <c r="FL110" s="101"/>
      <c r="FM110" s="101"/>
      <c r="FN110" s="101"/>
      <c r="FO110" s="101"/>
      <c r="FP110" s="374"/>
      <c r="FQ110" s="404"/>
      <c r="FR110" s="404"/>
    </row>
    <row r="111" spans="1:174">
      <c r="A111" s="205"/>
      <c r="B111" s="205" t="s">
        <v>303</v>
      </c>
      <c r="C111" s="400">
        <f>$AB69*KTDB_TripDistribution_2040!L$12 * (1+KTDB_발생량도착량_증가율!$C$8*2) * (1+KTDB_발생량도착량_증가율!$D$7*5) * (1+KTDB_발생량도착량_증가율!$E$7*5) * (1+KTDB_발생량도착량_증가율!$F$7*5)</f>
        <v>33.765492143705771</v>
      </c>
      <c r="D111" s="400">
        <f>$AB69*KTDB_TripDistribution_2040!M$12 * (1+KTDB_발생량도착량_증가율!$C$8*2) * (1+KTDB_발생량도착량_증가율!$D$7*5) * (1+KTDB_발생량도착량_증가율!$E$7*5) * (1+KTDB_발생량도착량_증가율!$F$7*5)</f>
        <v>262.56496967644034</v>
      </c>
      <c r="E111" s="400">
        <f>$AB69*KTDB_TripDistribution_2040!N$12 * (1+KTDB_발생량도착량_증가율!$C$8*2) * (1+KTDB_발생량도착량_증가율!$D$7*5) * (1+KTDB_발생량도착량_증가율!$E$7*5) * (1+KTDB_발생량도착량_증가율!$F$7*5)</f>
        <v>11.638284992670025</v>
      </c>
      <c r="F111" s="400">
        <f>$AB69*KTDB_TripDistribution_2040!O$12 * (1+KTDB_발생량도착량_증가율!$C$8*2) * (1+KTDB_발생량도착량_증가율!$D$7*5) * (1+KTDB_발생량도착량_증가율!$E$7*5) * (1+KTDB_발생량도착량_증가율!$F$7*5)</f>
        <v>3.1561450827579565E-2</v>
      </c>
      <c r="G111" s="400">
        <f>$AB69*KTDB_TripDistribution_2040!P$12 * (1+KTDB_발생량도착량_증가율!$C$8*2) * (1+KTDB_발생량도착량_증가율!$D$7*5) * (1+KTDB_발생량도착량_증가율!$E$7*5) * (1+KTDB_발생량도착량_증가율!$F$7*5)</f>
        <v>8.9424110678142821E-2</v>
      </c>
      <c r="H111" s="400">
        <f>$AB69*KTDB_TripDistribution_2040!Q$12 * (1+KTDB_발생량도착량_증가율!$C$8*2) * (1+KTDB_발생량도착량_증가율!$D$7*5) * (1+KTDB_발생량도착량_증가율!$E$7*5) * (1+KTDB_발생량도착량_증가율!$F$7*5)</f>
        <v>308.0897323743219</v>
      </c>
      <c r="I111" s="56"/>
      <c r="J111" s="56"/>
      <c r="K111" s="206"/>
      <c r="L111" s="206" t="s">
        <v>303</v>
      </c>
      <c r="M111" s="206">
        <f>INDEX($A$102:$H$115,MATCH($L111,$B$102:$B$115,0),MATCH($M$101,$A$102:$H$102,0))*고양시_Modal_split!C$3 * 0.01</f>
        <v>9.4543378002376152E-2</v>
      </c>
      <c r="N111" s="206">
        <f>INDEX($A$102:$H$115,MATCH($L111,$B$102:$B$115,0),MATCH($M$101,$A$102:$H$102,0))*고양시_Modal_split!D$3 * 0.01</f>
        <v>15.879910955184826</v>
      </c>
      <c r="O111" s="206">
        <f>INDEX($A$102:$H$115,MATCH($L111,$B$102:$B$115,0),MATCH($M$101,$A$102:$H$102,0))*고양시_Modal_split!E$3 * 0.01</f>
        <v>1.921256502976858</v>
      </c>
      <c r="P111" s="206">
        <f>INDEX($A$102:$H$115,MATCH($L111,$B$102:$B$115,0),MATCH($M$101,$A$102:$H$102,0))*고양시_Modal_split!F$3 * 0.01</f>
        <v>3.0962956295778192</v>
      </c>
      <c r="Q111" s="206">
        <f>INDEX($A$102:$H$115,MATCH($L111,$B$102:$B$115,0),MATCH($M$101,$A$102:$H$102,0))*고양시_Modal_split!G$3 * 0.01</f>
        <v>0.31064252772209311</v>
      </c>
      <c r="R111" s="206">
        <f>INDEX($A$102:$H$115,MATCH($L111,$B$102:$B$115,0),MATCH($M$101,$A$102:$H$102,0))*고양시_Modal_split!H$3 * 0.01</f>
        <v>3.3765492143705772E-3</v>
      </c>
      <c r="S111" s="206">
        <f>INDEX($A$102:$H$115,MATCH($L111,$B$102:$B$115,0),MATCH($M$101,$A$102:$H$102,0))*고양시_Modal_split!I$3 * 0.01</f>
        <v>0.93868068159502027</v>
      </c>
      <c r="T111" s="206">
        <f>INDEX($A$102:$H$115,MATCH($L111,$B$102:$B$115,0),MATCH($M$101,$A$102:$H$102,0))*고양시_Modal_split!J$3 * 0.01</f>
        <v>10.278215808544036</v>
      </c>
      <c r="U111" s="206">
        <f>INDEX($A$102:$H$115,MATCH($L111,$B$102:$B$115,0),MATCH($M$101,$A$102:$H$102,0))*고양시_Modal_split!K$3 * 0.01</f>
        <v>5.0648238215558659E-2</v>
      </c>
      <c r="V111" s="206">
        <f>INDEX($A$102:$H$115,MATCH($L111,$B$102:$B$115,0),MATCH($M$101,$A$102:$H$102,0))*고양시_Modal_split!L$3 * 0.01</f>
        <v>1.0197178627399144</v>
      </c>
      <c r="W111" s="206">
        <f>INDEX($A$102:$H$115,MATCH($L111,$B$102:$B$115,0),MATCH($M$101,$A$102:$H$102,0))*고양시_Modal_split!M$3 * 0.01</f>
        <v>7.7660631930523277E-2</v>
      </c>
      <c r="X111" s="206">
        <f>INDEX($A$102:$H$115,MATCH($L111,$B$102:$B$115,0),MATCH($M$101,$A$102:$H$102,0))*고양시_Modal_split!N$3 * 0.01</f>
        <v>3.3765492143705771E-2</v>
      </c>
      <c r="Y111" s="206">
        <f>INDEX($A$102:$H$115,MATCH($L111,$B$102:$B$115,0),MATCH($M$101,$A$102:$H$102,0))*고양시_Modal_split!O$3 * 0.01</f>
        <v>6.0777885858670389E-2</v>
      </c>
      <c r="Z111" s="209">
        <f>INDEX($A$102:$H$115,MATCH($L111,$B$102:$B$115,0),MATCH($M$101,$A$102:$H$102,0))*고양시_Modal_split!P$3 * 0.01</f>
        <v>33.765492143705771</v>
      </c>
      <c r="AA111" s="207">
        <f>INDEX($A$102:$H$115,MATCH($L111,$B$102:$B$115,0),MATCH($AA$101,$A$102:$H$102,0))*고양시_Modal_split!C$3 * 0.01</f>
        <v>0.73518191509403297</v>
      </c>
      <c r="AB111" s="207">
        <f>INDEX($A$102:$H$115,MATCH($L111,$B$102:$B$115,0),MATCH($AA$101,$A$102:$H$102,0))*고양시_Modal_split!D$3 * 0.01</f>
        <v>123.48430523882989</v>
      </c>
      <c r="AC111" s="207">
        <f>INDEX($A$102:$H$115,MATCH($L111,$B$102:$B$115,0),MATCH($AA$101,$A$102:$H$102,0))*고양시_Modal_split!E$3 * 0.01</f>
        <v>14.939946774589455</v>
      </c>
      <c r="AD111" s="207">
        <f>INDEX($A$102:$H$115,MATCH($L111,$B$102:$B$115,0),MATCH($AA$101,$A$102:$H$102,0))*고양시_Modal_split!F$3 * 0.01</f>
        <v>24.077207719329582</v>
      </c>
      <c r="AE111" s="207">
        <f>INDEX($A$102:$H$115,MATCH($L111,$B$102:$B$115,0),MATCH($AA$101,$A$102:$H$102,0))*고양시_Modal_split!G$3 * 0.01</f>
        <v>2.4155977210232509</v>
      </c>
      <c r="AF111" s="207">
        <f>INDEX($A$102:$H$115,MATCH($L111,$B$102:$B$115,0),MATCH($AA$101,$A$102:$H$102,0))*고양시_Modal_split!H$3 * 0.01</f>
        <v>2.6256496967644039E-2</v>
      </c>
      <c r="AG111" s="207">
        <f>INDEX($A$102:$H$115,MATCH($L111,$B$102:$B$115,0),MATCH($AA$101,$A$102:$H$102,0))*고양시_Modal_split!I$3 * 0.01</f>
        <v>7.2993061570050406</v>
      </c>
      <c r="AH111" s="207">
        <f>INDEX($A$102:$H$115,MATCH($L111,$B$102:$B$115,0),MATCH($AA$101,$A$102:$H$102,0))*고양시_Modal_split!J$3 * 0.01</f>
        <v>79.924776769508441</v>
      </c>
      <c r="AI111" s="207">
        <f>INDEX($A$102:$H$115,MATCH($L111,$B$102:$B$115,0),MATCH($AA$101,$A$102:$H$102,0))*고양시_Modal_split!K$3 * 0.01</f>
        <v>0.39384745451466052</v>
      </c>
      <c r="AJ111" s="207">
        <f>INDEX($A$102:$H$115,MATCH($L111,$B$102:$B$115,0),MATCH($AA$101,$A$102:$H$102,0))*고양시_Modal_split!L$3 * 0.01</f>
        <v>7.9294620842284989</v>
      </c>
      <c r="AK111" s="207">
        <f>INDEX($A$102:$H$115,MATCH($L111,$B$102:$B$115,0),MATCH($AA$101,$A$102:$H$102,0))*고양시_Modal_split!M$3 * 0.01</f>
        <v>0.60389943025581272</v>
      </c>
      <c r="AL111" s="207">
        <f>INDEX($A$102:$H$115,MATCH($L111,$B$102:$B$115,0),MATCH($AA$101,$A$102:$H$102,0))*고양시_Modal_split!N$3 * 0.01</f>
        <v>0.26256496967644039</v>
      </c>
      <c r="AM111" s="207">
        <f>INDEX($A$102:$H$115,MATCH($L111,$B$102:$B$115,0),MATCH($AA$101,$A$102:$H$102,0))*고양시_Modal_split!O$3 * 0.01</f>
        <v>0.47261694541759264</v>
      </c>
      <c r="AN111" s="207">
        <f>INDEX($A$102:$H$115,MATCH($L111,$B$102:$B$115,0),MATCH($AA$101,$A$102:$H$102,0))*고양시_Modal_split!P$3 * 0.01</f>
        <v>262.56496967644034</v>
      </c>
      <c r="AO111" s="303">
        <f>INDEX($A$102:$H$115,MATCH($L111,$B$102:$B$115,0),MATCH($AO$101,$A$102:$H$102,0))*고양시_Modal_split!C$3 * 0.01</f>
        <v>3.2587197979476068E-2</v>
      </c>
      <c r="AP111" s="303">
        <f>INDEX($A$102:$H$115,MATCH($L111,$B$102:$B$115,0),MATCH($AO$101,$A$102:$H$102,0))*고양시_Modal_split!D$3 * 0.01</f>
        <v>5.4734854320527129</v>
      </c>
      <c r="AQ111" s="303">
        <f>INDEX($A$102:$H$115,MATCH($L111,$B$102:$B$115,0),MATCH($AO$101,$A$102:$H$102,0))*고양시_Modal_split!E$3 * 0.01</f>
        <v>0.66221841608292442</v>
      </c>
      <c r="AR111" s="303">
        <f>INDEX($A$102:$H$115,MATCH($L111,$B$102:$B$115,0),MATCH($AO$101,$A$102:$H$102,0))*고양시_Modal_split!F$3 * 0.01</f>
        <v>1.0672307338278413</v>
      </c>
      <c r="AS111" s="303">
        <f>INDEX($A$102:$H$115,MATCH($L111,$B$102:$B$115,0),MATCH($AO$101,$A$102:$H$102,0))*고양시_Modal_split!G$3 * 0.01</f>
        <v>0.10707222193256423</v>
      </c>
      <c r="AT111" s="303">
        <f>INDEX($A$102:$H$115,MATCH($L111,$B$102:$B$115,0),MATCH($AO$101,$A$102:$H$102,0))*고양시_Modal_split!H$3 * 0.01</f>
        <v>1.1638284992670025E-3</v>
      </c>
      <c r="AU111" s="303">
        <f>INDEX($A$102:$H$115,MATCH($L111,$B$102:$B$115,0),MATCH($AO$101,$A$102:$H$102,0))*고양시_Modal_split!I$3 * 0.01</f>
        <v>0.32354432279622664</v>
      </c>
      <c r="AV111" s="303">
        <f>INDEX($A$102:$H$115,MATCH($L111,$B$102:$B$115,0),MATCH($AO$101,$A$102:$H$102,0))*고양시_Modal_split!J$3 * 0.01</f>
        <v>3.5426939517687557</v>
      </c>
      <c r="AW111" s="303">
        <f>INDEX($A$102:$H$115,MATCH($L111,$B$102:$B$115,0),MATCH($AO$101,$A$102:$H$102,0))*고양시_Modal_split!K$3 * 0.01</f>
        <v>1.7457427489005039E-2</v>
      </c>
      <c r="AX111" s="303">
        <f>INDEX($A$102:$H$115,MATCH($L111,$B$102:$B$115,0),MATCH($AO$101,$A$102:$H$102,0))*고양시_Modal_split!L$3 * 0.01</f>
        <v>0.35147620677863478</v>
      </c>
      <c r="AY111" s="303">
        <f>INDEX($A$102:$H$115,MATCH($L111,$B$102:$B$115,0),MATCH($AO$101,$A$102:$H$102,0))*고양시_Modal_split!M$3 * 0.01</f>
        <v>2.6768055483141057E-2</v>
      </c>
      <c r="AZ111" s="303">
        <f>INDEX($A$102:$H$115,MATCH($L111,$B$102:$B$115,0),MATCH($AO$101,$A$102:$H$102,0))*고양시_Modal_split!N$3 * 0.01</f>
        <v>1.1638284992670025E-2</v>
      </c>
      <c r="BA111" s="207">
        <f>INDEX($A$102:$H$115,MATCH($L111,$B$102:$B$115,0),MATCH($AO$101,$A$102:$H$102,0))*고양시_Modal_split!O$3 * 0.01</f>
        <v>2.0948912986806043E-2</v>
      </c>
      <c r="BB111" s="207">
        <f>INDEX($A$102:$H$115,MATCH($L111,$B$102:$B$115,0),MATCH($AO$101,$A$102:$H$102,0))*고양시_Modal_split!P$3 * 0.01</f>
        <v>11.638284992670027</v>
      </c>
      <c r="BC111" s="207">
        <f>INDEX($A$102:$H$115,MATCH($L111,$B$102:$B$115,0),MATCH($BC$101,$A$102:$H$102,0))*고양시_Modal_split!C$3 * 0.01</f>
        <v>8.8372062317222766E-5</v>
      </c>
      <c r="BD111" s="207">
        <f>INDEX($A$102:$H$115,MATCH($L111,$B$102:$B$115,0),MATCH($BC$101,$A$102:$H$102,0))*고양시_Modal_split!D$3 * 0.01</f>
        <v>1.4843350324210669E-2</v>
      </c>
      <c r="BE111" s="207">
        <f>INDEX($A$102:$H$115,MATCH($L111,$B$102:$B$115,0),MATCH($BC$101,$A$102:$H$102,0))*고양시_Modal_split!E$3 * 0.01</f>
        <v>1.7958465520892773E-3</v>
      </c>
      <c r="BF111" s="207">
        <f>INDEX($A$102:$H$115,MATCH($L111,$B$102:$B$115,0),MATCH($BC$101,$A$102:$H$102,0))*고양시_Modal_split!F$3 * 0.01</f>
        <v>2.8941850408890461E-3</v>
      </c>
      <c r="BG111" s="207">
        <f>INDEX($A$102:$H$115,MATCH($L111,$B$102:$B$115,0),MATCH($BC$101,$A$102:$H$102,0))*고양시_Modal_split!G$3 * 0.01</f>
        <v>2.9036534761373196E-4</v>
      </c>
      <c r="BH111" s="207">
        <f>INDEX($A$102:$H$115,MATCH($L111,$B$102:$B$115,0),MATCH($BC$101,$A$102:$H$102,0))*고양시_Modal_split!H$3 * 0.01</f>
        <v>3.1561450827579568E-6</v>
      </c>
      <c r="BI111" s="207">
        <f>INDEX($A$102:$H$115,MATCH($L111,$B$102:$B$115,0),MATCH($BC$101,$A$102:$H$102,0))*고양시_Modal_split!I$3 * 0.01</f>
        <v>8.7740833300671193E-4</v>
      </c>
      <c r="BJ111" s="207">
        <f>INDEX($A$102:$H$115,MATCH($L111,$B$102:$B$115,0),MATCH($BC$101,$A$102:$H$102,0))*고양시_Modal_split!J$3 * 0.01</f>
        <v>9.6073056319152215E-3</v>
      </c>
      <c r="BK111" s="207">
        <f>INDEX($A$102:$H$115,MATCH($L111,$B$102:$B$115,0),MATCH($BC$101,$A$102:$H$102,0))*고양시_Modal_split!K$3 * 0.01</f>
        <v>4.7342176241369346E-5</v>
      </c>
      <c r="BL111" s="207">
        <f>INDEX($A$102:$H$115,MATCH($L111,$B$102:$B$115,0),MATCH($BC$101,$A$102:$H$102,0))*고양시_Modal_split!L$3 * 0.01</f>
        <v>9.5315581499290293E-4</v>
      </c>
      <c r="BM111" s="207">
        <f>INDEX($A$102:$H$115,MATCH($L111,$B$102:$B$115,0),MATCH($BC$101,$A$102:$H$102,0))*고양시_Modal_split!M$3 * 0.01</f>
        <v>7.2591336903432991E-5</v>
      </c>
      <c r="BN111" s="207">
        <f>INDEX($A$102:$H$115,MATCH($L111,$B$102:$B$115,0),MATCH($BC$101,$A$102:$H$102,0))*고양시_Modal_split!N$3 * 0.01</f>
        <v>3.1561450827579564E-5</v>
      </c>
      <c r="BO111" s="207">
        <f>INDEX($A$102:$H$115,MATCH($L111,$B$102:$B$115,0),MATCH($BC$101,$A$102:$H$102,0))*고양시_Modal_split!O$3 * 0.01</f>
        <v>5.6810611489643216E-5</v>
      </c>
      <c r="BP111" s="207">
        <f>INDEX($A$102:$H$115,MATCH($L111,$B$102:$B$115,0),MATCH($BC$101,$A$102:$H$102,0))*고양시_Modal_split!P$3 * 0.01</f>
        <v>3.1561450827579565E-2</v>
      </c>
      <c r="BQ111" s="207">
        <f>INDEX($A$102:$H$115,MATCH($L111,$B$102:$B$115,0),MATCH($BQ$101,$A$102:$H$102,0))*고양시_Modal_split!C$3 * 0.01</f>
        <v>2.5038750989879986E-4</v>
      </c>
      <c r="BR111" s="207">
        <f>INDEX($A$102:$H$115,MATCH($L111,$B$102:$B$115,0),MATCH($BQ$101,$A$102:$H$102,0))*고양시_Modal_split!D$3 * 0.01</f>
        <v>4.2056159251930569E-2</v>
      </c>
      <c r="BS111" s="207">
        <f>INDEX($A$102:$H$115,MATCH($L111,$B$102:$B$115,0),MATCH($BQ$101,$A$102:$H$102,0))*고양시_Modal_split!E$3 * 0.01</f>
        <v>5.0882318975863259E-3</v>
      </c>
      <c r="BT111" s="207">
        <f>INDEX($A$102:$H$115,MATCH($L111,$B$102:$B$115,0),MATCH($BQ$101,$A$102:$H$102,0))*고양시_Modal_split!F$3 * 0.01</f>
        <v>8.2001909491856966E-3</v>
      </c>
      <c r="BU111" s="207">
        <f>INDEX($A$102:$H$115,MATCH($L111,$B$102:$B$115,0),MATCH($BQ$101,$A$102:$H$102,0))*고양시_Modal_split!G$3 * 0.01</f>
        <v>8.2270181823891381E-4</v>
      </c>
      <c r="BV111" s="207">
        <f>INDEX($A$102:$H$115,MATCH($L111,$B$102:$B$115,0),MATCH($BQ$101,$A$102:$H$102,0))*고양시_Modal_split!H$3 * 0.01</f>
        <v>8.9424110678142821E-6</v>
      </c>
      <c r="BW111" s="207">
        <f>INDEX($A$102:$H$115,MATCH($L111,$B$102:$B$115,0),MATCH($BQ$101,$A$102:$H$102,0))*고양시_Modal_split!I$3 * 0.01</f>
        <v>2.4859902768523704E-3</v>
      </c>
      <c r="BX111" s="207">
        <f>INDEX($A$102:$H$115,MATCH($L111,$B$102:$B$115,0),MATCH($BQ$101,$A$102:$H$102,0))*고양시_Modal_split!J$3 * 0.01</f>
        <v>2.7220699290426677E-2</v>
      </c>
      <c r="BY111" s="207">
        <f>INDEX($A$102:$H$115,MATCH($L111,$B$102:$B$115,0),MATCH($BQ$101,$A$102:$H$102,0))*고양시_Modal_split!K$3 * 0.01</f>
        <v>1.3413616601721422E-4</v>
      </c>
      <c r="BZ111" s="207">
        <f>INDEX($A$102:$H$115,MATCH($L111,$B$102:$B$115,0),MATCH($BQ$101,$A$102:$H$102,0))*고양시_Modal_split!L$3 * 0.01</f>
        <v>2.7006081424799135E-3</v>
      </c>
      <c r="CA111" s="207">
        <f>INDEX($A$102:$H$115,MATCH($L111,$B$102:$B$115,0),MATCH($BQ$101,$A$102:$H$102,0))*고양시_Modal_split!M$3 * 0.01</f>
        <v>2.0567545455972845E-4</v>
      </c>
      <c r="CB111" s="207">
        <f>INDEX($A$102:$H$115,MATCH($L111,$B$102:$B$115,0),MATCH($BQ$101,$A$102:$H$102,0))*고양시_Modal_split!N$3 * 0.01</f>
        <v>8.9424110678142828E-5</v>
      </c>
      <c r="CC111" s="207">
        <f>INDEX($A$102:$H$115,MATCH($L111,$B$102:$B$115,0),MATCH($BQ$101,$A$102:$H$102,0))*고양시_Modal_split!O$3 * 0.01</f>
        <v>1.6096339922065707E-4</v>
      </c>
      <c r="CD111" s="207">
        <f>INDEX($A$102:$H$115,MATCH($L111,$B$102:$B$115,0),MATCH($BQ$101,$A$102:$H$102,0))*고양시_Modal_split!P$3 * 0.01</f>
        <v>8.9424110678142821E-2</v>
      </c>
      <c r="CE111" s="304">
        <f t="shared" si="51"/>
        <v>0.86265125064810122</v>
      </c>
      <c r="CF111" s="304">
        <f t="shared" si="47"/>
        <v>144.89460113564357</v>
      </c>
      <c r="CG111" s="304">
        <f t="shared" si="47"/>
        <v>17.530305772098913</v>
      </c>
      <c r="CH111" s="304">
        <f t="shared" si="47"/>
        <v>28.251828458725321</v>
      </c>
      <c r="CI111" s="304">
        <f t="shared" si="47"/>
        <v>2.8344255378437611</v>
      </c>
      <c r="CJ111" s="304">
        <f t="shared" si="47"/>
        <v>3.0808973237432188E-2</v>
      </c>
      <c r="CK111" s="304">
        <f t="shared" si="47"/>
        <v>8.5648945600061488</v>
      </c>
      <c r="CL111" s="304">
        <f t="shared" si="47"/>
        <v>93.782514534743569</v>
      </c>
      <c r="CM111" s="304">
        <f t="shared" si="47"/>
        <v>0.46213459856148276</v>
      </c>
      <c r="CN111" s="304">
        <f t="shared" si="47"/>
        <v>9.3043099177045221</v>
      </c>
      <c r="CO111" s="304">
        <f t="shared" si="47"/>
        <v>0.70860638446094026</v>
      </c>
      <c r="CP111" s="304">
        <f t="shared" si="47"/>
        <v>0.30808973237432186</v>
      </c>
      <c r="CQ111" s="304">
        <f t="shared" si="47"/>
        <v>0.55456151827377942</v>
      </c>
      <c r="CR111" s="304">
        <f t="shared" si="47"/>
        <v>308.08973237432184</v>
      </c>
      <c r="CS111" s="305">
        <f t="shared" si="52"/>
        <v>0</v>
      </c>
      <c r="CV111" s="267"/>
      <c r="CW111" s="267" t="s">
        <v>303</v>
      </c>
      <c r="CX111" s="267">
        <f>INDEX($M$101:$Z$115,MATCH($CW111,$L$101:$L$115,0),MATCH(CX$102,$M$102:$Z$102,0))/INDEX(고양시_재차인원!$D$4:$H$35,MATCH("고양시",고양시_재차인원!$B$4:$B$35,0),MATCH($CX$101,고양시_재차인원!$D$4:$H$4,0))</f>
        <v>14.178491924272166</v>
      </c>
      <c r="CY111" s="267">
        <f>INDEX($M$101:$Z$115,MATCH($CW111,$L$101:$L$115,0),MATCH(CY$102,$M$102:$Z$102,0))/INDEX(고양시_재차인원!$K$4:$O$20,MATCH("경기도",고양시_재차인원!$K$4:$K$20,0),MATCH(CY$102,고양시_재차인원!$K$4:$O$4,0))</f>
        <v>1.1728201508755045E-4</v>
      </c>
      <c r="CZ111" s="267">
        <f>INDEX($M$101:$Z$115,MATCH($CW111,$L$101:$L$115,0),MATCH(CZ$102,$M$102:$Z$102,0))/INDEX(고양시_재차인원!$K$4:$O$20,MATCH("경기도",고양시_재차인원!$K$4:$K$20,0),MATCH(CZ$102,고양시_재차인원!$K$4:$O$4,0))</f>
        <v>3.2604400194339016E-2</v>
      </c>
      <c r="DA111" s="267">
        <f>INDEX($M$101:$Z$115,MATCH($CW111,$L$101:$L$115,0),MATCH(DA$102,$M$102:$Z$102,0))/INDEX(고양시_재차인원!$D$4:$H$35,MATCH("고양시",고양시_재차인원!$B$4:$B$35,0),MATCH($CX$101,고양시_재차인원!$D$4:$H$4,0))</f>
        <v>0.91046237744635206</v>
      </c>
      <c r="DB111" s="267">
        <f>INDEX($AA$101:$AN$115,MATCH($CW111,$L$101:$L$115,0),MATCH(DB$102,$AA$102:$AN$102,0))/INDEX(고양시_재차인원!$D$4:$H$35,MATCH("고양시",고양시_재차인원!$B$4:$B$35,0),MATCH($DB$101,고양시_재차인원!$D$4:$H$4,0))</f>
        <v>87.577521445978647</v>
      </c>
      <c r="DC111" s="267">
        <f>INDEX($AA$101:$AN$115,MATCH($CW111,$L$101:$L$115,0),MATCH(DC$102,$AA$102:$AN$102,0))/INDEX(고양시_재차인원!$K$4:$O$20,MATCH("경기도",고양시_재차인원!$K$4:$K$20,0),MATCH(DC$102,고양시_재차인원!$K$4:$O$4,0))</f>
        <v>9.1200058935894549E-4</v>
      </c>
      <c r="DD111" s="267">
        <f>INDEX($AA$101:$AN$115,MATCH($CW111,$L$101:$L$115,0),MATCH(DD$102,$AA$102:$AN$102,0))/INDEX(고양시_재차인원!$K$4:$O$20,MATCH("경기도",고양시_재차인원!$K$4:$K$20,0),MATCH(DD$102,고양시_재차인원!$K$4:$O$4,0))</f>
        <v>0.25353616384178673</v>
      </c>
      <c r="DE111" s="267">
        <f>INDEX($AA$101:$AN$115,MATCH($CW111,$L$101:$L$115,0),MATCH(DE$102,$AA$102:$AN$102,0))/INDEX(고양시_재차인원!$D$4:$H$35,MATCH("고양시",고양시_재차인원!$B$4:$B$35,0),MATCH($DB$101,고양시_재차인원!$D$4:$H$4,0))</f>
        <v>5.6237319746301413</v>
      </c>
      <c r="DF111" s="267">
        <f>INDEX($AO$101:$BB$115,MATCH($CW111,$L$101:$L$115,0),MATCH(DF$102,$AO$102:$BB$102,0))/INDEX(고양시_재차인원!$D$4:$H$35,MATCH("고양시",고양시_재차인원!$B$4:$B$35,0),MATCH($DF$101,고양시_재차인원!$D$4:$H$4,0))</f>
        <v>4.2103734092713179</v>
      </c>
      <c r="DG111" s="267">
        <f>INDEX($AO$101:$BB$115,MATCH($CW111,$L$101:$L$115,0),MATCH(DG$102,$AO$102:$BB$102,0))/INDEX(고양시_재차인원!$K$4:$O$20,MATCH("경기도",고양시_재차인원!$K$4:$K$20,0),MATCH(DG$102,고양시_재차인원!$K$4:$O$4,0))</f>
        <v>4.0424748150990017E-5</v>
      </c>
      <c r="DH111" s="267">
        <f>INDEX($AO$101:$BB$115,MATCH($CW111,$L$101:$L$115,0),MATCH(DH$102,$AO$102:$BB$102,0))/INDEX(고양시_재차인원!$K$4:$O$20,MATCH("경기도",고양시_재차인원!$K$4:$K$20,0),MATCH(DH$102,고양시_재차인원!$K$4:$O$4,0))</f>
        <v>1.1238079985975221E-2</v>
      </c>
      <c r="DI111" s="267">
        <f>INDEX($AO$101:$BB$115,MATCH($CW111,$L$101:$L$115,0),MATCH(DI$102,$AO$102:$BB$102,0))/INDEX(고양시_재차인원!$D$4:$H$35,MATCH("고양시",고양시_재차인원!$B$4:$B$35,0),MATCH($DF$101,고양시_재차인원!$D$4:$H$4,0))</f>
        <v>0.27036631290664215</v>
      </c>
      <c r="DJ111" s="267">
        <f>INDEX($BC$101:$BP$115,MATCH($CW111,$L$101:$L$115,0),MATCH(DJ$102,$BC$102:$BP$102,0))/INDEX(고양시_재차인원!$D$4:$H$35,MATCH("고양시",고양시_재차인원!$B$4:$B$35,0),MATCH($DJ$101,고양시_재차인원!$D$4:$H$4,0))</f>
        <v>1.0914228179566667E-2</v>
      </c>
      <c r="DK111" s="267">
        <f>INDEX($BC$101:$BP$115,MATCH($CW111,$L$101:$L$115,0),MATCH(DK$102,$BC$102:$BP$102,0))/INDEX(고양시_재차인원!$K$4:$O$20,MATCH("경기도",고양시_재차인원!$K$4:$K$20,0),MATCH(DK$102,고양시_재차인원!$K$4:$O$4,0))</f>
        <v>1.0962643566370118E-7</v>
      </c>
      <c r="DL111" s="267">
        <f>INDEX($BC$101:$BP$115,MATCH($CW111,$L$101:$L$115,0),MATCH(DL$102,$BC$102:$BP$102,0))/INDEX(고양시_재차인원!$K$4:$O$20,MATCH("경기도",고양시_재차인원!$K$4:$K$20,0),MATCH(DL$102,고양시_재차인원!$K$4:$O$4,0))</f>
        <v>3.0476149114508926E-5</v>
      </c>
      <c r="DM111" s="267">
        <f>INDEX($BC$101:$BP$115,MATCH($CW111,$L$101:$L$115,0),MATCH(DM$102,$BC$102:$BP$102,0))/INDEX(고양시_재차인원!$D$4:$H$35,MATCH("고양시",고양시_재차인원!$B$4:$B$35,0),MATCH($DJ$101,고양시_재차인원!$D$4:$H$4,0))</f>
        <v>7.0084986396536976E-4</v>
      </c>
      <c r="DN111" s="267">
        <f>INDEX($BQ$101:$CD$115,MATCH($CW111,$L$101:$L$115,0),MATCH(DN$102,$BQ$102:$CD$102,0))/INDEX(고양시_재차인원!$D$4:$H$35,MATCH("고양시",고양시_재차인원!$B$4:$B$35,0),MATCH($DN$101,고양시_재차인원!$D$4:$H$4,0))</f>
        <v>3.3377904168198864E-2</v>
      </c>
      <c r="DO111" s="267">
        <f>INDEX($BQ$101:$CD$115,MATCH($CW111,$L$101:$L$115,0),MATCH(DO$102,$BQ$102:$CD$102,0))/INDEX(고양시_재차인원!$K$4:$O$20,MATCH("경기도",고양시_재차인원!$K$4:$K$20,0),MATCH(DO$102,고양시_재차인원!$K$4:$O$4,0))</f>
        <v>3.1060823438048916E-7</v>
      </c>
      <c r="DP111" s="267">
        <f>INDEX($BQ$101:$CD$115,MATCH($CW111,$L$101:$L$115,0),MATCH(DP$102,$BQ$102:$CD$102,0))/INDEX(고양시_재차인원!$K$4:$O$20,MATCH("경기도",고양시_재차인원!$K$4:$K$20,0),MATCH(DP$102,고양시_재차인원!$K$4:$O$4,0))</f>
        <v>8.634908915777598E-5</v>
      </c>
      <c r="DQ111" s="267">
        <f>INDEX($BQ$101:$CD$115,MATCH($CW111,$L$101:$L$115,0),MATCH(DQ$102,$BQ$102:$CD$102,0))/INDEX(고양시_재차인원!$D$4:$H$35,MATCH("고양시",고양시_재차인원!$B$4:$B$35,0),MATCH($DN$101,고양시_재차인원!$D$4:$H$4,0))</f>
        <v>2.1433397956189789E-3</v>
      </c>
      <c r="DR111" s="270">
        <f t="shared" si="53"/>
        <v>106.0106789118699</v>
      </c>
      <c r="DS111" s="270">
        <f t="shared" si="48"/>
        <v>1.0701275872675301E-3</v>
      </c>
      <c r="DT111" s="270">
        <f t="shared" si="48"/>
        <v>0.29749546926037324</v>
      </c>
      <c r="DU111" s="270">
        <f t="shared" si="48"/>
        <v>6.8074048546427193</v>
      </c>
      <c r="DW111" s="278"/>
      <c r="DX111" s="278" t="s">
        <v>303</v>
      </c>
      <c r="DY111" s="281">
        <f t="shared" si="54"/>
        <v>112.81808376651261</v>
      </c>
      <c r="DZ111" s="281">
        <f t="shared" si="55"/>
        <v>0.29856559684764078</v>
      </c>
      <c r="EB111" s="278"/>
      <c r="EC111" s="278" t="s">
        <v>303</v>
      </c>
      <c r="ED111" s="281">
        <f t="shared" si="56"/>
        <v>112.81808376651261</v>
      </c>
      <c r="EE111" s="281">
        <f t="shared" si="49"/>
        <v>0.29856559684764078</v>
      </c>
      <c r="EL111" s="306" t="s">
        <v>667</v>
      </c>
      <c r="EM111" s="306" t="s">
        <v>76</v>
      </c>
      <c r="EN111" s="306">
        <v>25868.347099999999</v>
      </c>
      <c r="EO111" s="306">
        <v>0.13929345213562067</v>
      </c>
      <c r="EP111" s="307">
        <v>849109</v>
      </c>
      <c r="EQ111" s="308">
        <f t="shared" si="57"/>
        <v>601.02068278789613</v>
      </c>
      <c r="ER111" s="308">
        <f t="shared" si="58"/>
        <v>1.5905614852111911</v>
      </c>
      <c r="ET111" s="420" t="s">
        <v>667</v>
      </c>
      <c r="EU111" s="420" t="s">
        <v>76</v>
      </c>
      <c r="EV111" s="420">
        <v>25868.347099999999</v>
      </c>
      <c r="EW111" s="420">
        <v>0.13929345213562067</v>
      </c>
      <c r="EX111" s="421">
        <v>849109</v>
      </c>
      <c r="EY111" s="422">
        <f t="shared" si="59"/>
        <v>583.8915933284411</v>
      </c>
      <c r="EZ111" s="422">
        <f t="shared" si="60"/>
        <v>1.5452304828826722</v>
      </c>
      <c r="FA111">
        <v>0</v>
      </c>
      <c r="FD111" s="306" t="s">
        <v>667</v>
      </c>
      <c r="FE111" s="306" t="s">
        <v>76</v>
      </c>
      <c r="FF111" s="306">
        <v>25868.347099999999</v>
      </c>
      <c r="FG111" s="306">
        <v>0.13929345213562067</v>
      </c>
      <c r="FH111" s="307">
        <v>849109</v>
      </c>
      <c r="FI111" s="308">
        <f t="shared" si="61"/>
        <v>583.8915933284411</v>
      </c>
      <c r="FJ111" s="308">
        <f t="shared" si="50"/>
        <v>1.5452304828826722</v>
      </c>
      <c r="FL111" s="101"/>
      <c r="FM111" s="101"/>
      <c r="FN111" s="101"/>
      <c r="FO111" s="101"/>
      <c r="FP111" s="374"/>
      <c r="FQ111" s="404"/>
      <c r="FR111" s="404"/>
    </row>
    <row r="112" spans="1:174">
      <c r="A112" s="205"/>
      <c r="B112" s="205" t="s">
        <v>304</v>
      </c>
      <c r="C112" s="400">
        <f>$AB70*KTDB_TripDistribution_2040!L$12 * (1+KTDB_발생량도착량_증가율!$C$8*2) * (1+KTDB_발생량도착량_증가율!$D$7*5) * (1+KTDB_발생량도착량_증가율!$E$7*5) * (1+KTDB_발생량도착량_증가율!$F$7*5)</f>
        <v>3.1151030643287045</v>
      </c>
      <c r="D112" s="400">
        <f>$AB70*KTDB_TripDistribution_2040!M$12 * (1+KTDB_발생량도착량_증가율!$C$8*2) * (1+KTDB_발생량도착량_증가율!$D$7*5) * (1+KTDB_발생량도착량_증가율!$E$7*5) * (1+KTDB_발생량도착량_증가율!$F$7*5)</f>
        <v>24.223456840001088</v>
      </c>
      <c r="E112" s="400">
        <f>$AB70*KTDB_TripDistribution_2040!N$12 * (1+KTDB_발생량도착량_증가율!$C$8*2) * (1+KTDB_발생량도착량_증가율!$D$7*5) * (1+KTDB_발생량도착량_증가율!$E$7*5) * (1+KTDB_발생량도착량_증가율!$F$7*5)</f>
        <v>1.07371327774221</v>
      </c>
      <c r="F112" s="400">
        <f>$AB70*KTDB_TripDistribution_2040!O$12 * (1+KTDB_발생량도착량_증가율!$C$8*2) * (1+KTDB_발생량도착량_증가율!$D$7*5) * (1+KTDB_발생량도착량_증가율!$E$7*5) * (1+KTDB_발생량도착량_증가율!$F$7*5)</f>
        <v>2.9117648209958085E-3</v>
      </c>
      <c r="G112" s="400">
        <f>$AB70*KTDB_TripDistribution_2040!P$12 * (1+KTDB_발생량도착량_증가율!$C$8*2) * (1+KTDB_발생량도착량_증가율!$D$7*5) * (1+KTDB_발생량도착량_증가율!$E$7*5) * (1+KTDB_발생량도착량_증가율!$F$7*5)</f>
        <v>8.250000326154857E-3</v>
      </c>
      <c r="H112" s="400">
        <f>$AB70*KTDB_TripDistribution_2040!Q$12 * (1+KTDB_발생량도착량_증가율!$C$8*2) * (1+KTDB_발생량도착량_증가율!$D$7*5) * (1+KTDB_발생량도착량_증가율!$E$7*5) * (1+KTDB_발생량도착량_증가율!$F$7*5)</f>
        <v>28.42343494721915</v>
      </c>
      <c r="I112" s="56"/>
      <c r="J112" s="56"/>
      <c r="K112" s="206"/>
      <c r="L112" s="206" t="s">
        <v>304</v>
      </c>
      <c r="M112" s="206">
        <f>INDEX($A$102:$H$115,MATCH($L112,$B$102:$B$115,0),MATCH($M$101,$A$102:$H$102,0))*고양시_Modal_split!C$3 * 0.01</f>
        <v>8.7222885801203718E-3</v>
      </c>
      <c r="N112" s="206">
        <f>INDEX($A$102:$H$115,MATCH($L112,$B$102:$B$115,0),MATCH($M$101,$A$102:$H$102,0))*고양시_Modal_split!D$3 * 0.01</f>
        <v>1.4650329711537899</v>
      </c>
      <c r="O112" s="206">
        <f>INDEX($A$102:$H$115,MATCH($L112,$B$102:$B$115,0),MATCH($M$101,$A$102:$H$102,0))*고양시_Modal_split!E$3 * 0.01</f>
        <v>0.17724936436030325</v>
      </c>
      <c r="P112" s="206">
        <f>INDEX($A$102:$H$115,MATCH($L112,$B$102:$B$115,0),MATCH($M$101,$A$102:$H$102,0))*고양시_Modal_split!F$3 * 0.01</f>
        <v>0.28565495099894223</v>
      </c>
      <c r="Q112" s="206">
        <f>INDEX($A$102:$H$115,MATCH($L112,$B$102:$B$115,0),MATCH($M$101,$A$102:$H$102,0))*고양시_Modal_split!G$3 * 0.01</f>
        <v>2.8658948191824081E-2</v>
      </c>
      <c r="R112" s="206">
        <f>INDEX($A$102:$H$115,MATCH($L112,$B$102:$B$115,0),MATCH($M$101,$A$102:$H$102,0))*고양시_Modal_split!H$3 * 0.01</f>
        <v>3.1151030643287043E-4</v>
      </c>
      <c r="S112" s="206">
        <f>INDEX($A$102:$H$115,MATCH($L112,$B$102:$B$115,0),MATCH($M$101,$A$102:$H$102,0))*고양시_Modal_split!I$3 * 0.01</f>
        <v>8.6599865188337968E-2</v>
      </c>
      <c r="T112" s="206">
        <f>INDEX($A$102:$H$115,MATCH($L112,$B$102:$B$115,0),MATCH($M$101,$A$102:$H$102,0))*고양시_Modal_split!J$3 * 0.01</f>
        <v>0.94823737278165765</v>
      </c>
      <c r="U112" s="206">
        <f>INDEX($A$102:$H$115,MATCH($L112,$B$102:$B$115,0),MATCH($M$101,$A$102:$H$102,0))*고양시_Modal_split!K$3 * 0.01</f>
        <v>4.6726545964930564E-3</v>
      </c>
      <c r="V112" s="206">
        <f>INDEX($A$102:$H$115,MATCH($L112,$B$102:$B$115,0),MATCH($M$101,$A$102:$H$102,0))*고양시_Modal_split!L$3 * 0.01</f>
        <v>9.4076112542726881E-2</v>
      </c>
      <c r="W112" s="206">
        <f>INDEX($A$102:$H$115,MATCH($L112,$B$102:$B$115,0),MATCH($M$101,$A$102:$H$102,0))*고양시_Modal_split!M$3 * 0.01</f>
        <v>7.1647370479560202E-3</v>
      </c>
      <c r="X112" s="206">
        <f>INDEX($A$102:$H$115,MATCH($L112,$B$102:$B$115,0),MATCH($M$101,$A$102:$H$102,0))*고양시_Modal_split!N$3 * 0.01</f>
        <v>3.1151030643287048E-3</v>
      </c>
      <c r="Y112" s="206">
        <f>INDEX($A$102:$H$115,MATCH($L112,$B$102:$B$115,0),MATCH($M$101,$A$102:$H$102,0))*고양시_Modal_split!O$3 * 0.01</f>
        <v>5.6071855157916687E-3</v>
      </c>
      <c r="Z112" s="209">
        <f>INDEX($A$102:$H$115,MATCH($L112,$B$102:$B$115,0),MATCH($M$101,$A$102:$H$102,0))*고양시_Modal_split!P$3 * 0.01</f>
        <v>3.1151030643287045</v>
      </c>
      <c r="AA112" s="207">
        <f>INDEX($A$102:$H$115,MATCH($L112,$B$102:$B$115,0),MATCH($AA$101,$A$102:$H$102,0))*고양시_Modal_split!C$3 * 0.01</f>
        <v>6.7825679152003049E-2</v>
      </c>
      <c r="AB112" s="207">
        <f>INDEX($A$102:$H$115,MATCH($L112,$B$102:$B$115,0),MATCH($AA$101,$A$102:$H$102,0))*고양시_Modal_split!D$3 * 0.01</f>
        <v>11.392291751852513</v>
      </c>
      <c r="AC112" s="207">
        <f>INDEX($A$102:$H$115,MATCH($L112,$B$102:$B$115,0),MATCH($AA$101,$A$102:$H$102,0))*고양시_Modal_split!E$3 * 0.01</f>
        <v>1.3783146941960618</v>
      </c>
      <c r="AD112" s="207">
        <f>INDEX($A$102:$H$115,MATCH($L112,$B$102:$B$115,0),MATCH($AA$101,$A$102:$H$102,0))*고양시_Modal_split!F$3 * 0.01</f>
        <v>2.2212909922280999</v>
      </c>
      <c r="AE112" s="207">
        <f>INDEX($A$102:$H$115,MATCH($L112,$B$102:$B$115,0),MATCH($AA$101,$A$102:$H$102,0))*고양시_Modal_split!G$3 * 0.01</f>
        <v>0.22285580292801002</v>
      </c>
      <c r="AF112" s="207">
        <f>INDEX($A$102:$H$115,MATCH($L112,$B$102:$B$115,0),MATCH($AA$101,$A$102:$H$102,0))*고양시_Modal_split!H$3 * 0.01</f>
        <v>2.422345684000109E-3</v>
      </c>
      <c r="AG112" s="207">
        <f>INDEX($A$102:$H$115,MATCH($L112,$B$102:$B$115,0),MATCH($AA$101,$A$102:$H$102,0))*고양시_Modal_split!I$3 * 0.01</f>
        <v>0.67341210015203024</v>
      </c>
      <c r="AH112" s="207">
        <f>INDEX($A$102:$H$115,MATCH($L112,$B$102:$B$115,0),MATCH($AA$101,$A$102:$H$102,0))*고양시_Modal_split!J$3 * 0.01</f>
        <v>7.373620262096332</v>
      </c>
      <c r="AI112" s="207">
        <f>INDEX($A$102:$H$115,MATCH($L112,$B$102:$B$115,0),MATCH($AA$101,$A$102:$H$102,0))*고양시_Modal_split!K$3 * 0.01</f>
        <v>3.633518526000163E-2</v>
      </c>
      <c r="AJ112" s="207">
        <f>INDEX($A$102:$H$115,MATCH($L112,$B$102:$B$115,0),MATCH($AA$101,$A$102:$H$102,0))*고양시_Modal_split!L$3 * 0.01</f>
        <v>0.73154839656803294</v>
      </c>
      <c r="AK112" s="207">
        <f>INDEX($A$102:$H$115,MATCH($L112,$B$102:$B$115,0),MATCH($AA$101,$A$102:$H$102,0))*고양시_Modal_split!M$3 * 0.01</f>
        <v>5.5713950732002505E-2</v>
      </c>
      <c r="AL112" s="207">
        <f>INDEX($A$102:$H$115,MATCH($L112,$B$102:$B$115,0),MATCH($AA$101,$A$102:$H$102,0))*고양시_Modal_split!N$3 * 0.01</f>
        <v>2.422345684000109E-2</v>
      </c>
      <c r="AM112" s="207">
        <f>INDEX($A$102:$H$115,MATCH($L112,$B$102:$B$115,0),MATCH($AA$101,$A$102:$H$102,0))*고양시_Modal_split!O$3 * 0.01</f>
        <v>4.3602222312001955E-2</v>
      </c>
      <c r="AN112" s="207">
        <f>INDEX($A$102:$H$115,MATCH($L112,$B$102:$B$115,0),MATCH($AA$101,$A$102:$H$102,0))*고양시_Modal_split!P$3 * 0.01</f>
        <v>24.223456840001088</v>
      </c>
      <c r="AO112" s="303">
        <f>INDEX($A$102:$H$115,MATCH($L112,$B$102:$B$115,0),MATCH($AO$101,$A$102:$H$102,0))*고양시_Modal_split!C$3 * 0.01</f>
        <v>3.0063971776781878E-3</v>
      </c>
      <c r="AP112" s="303">
        <f>INDEX($A$102:$H$115,MATCH($L112,$B$102:$B$115,0),MATCH($AO$101,$A$102:$H$102,0))*고양시_Modal_split!D$3 * 0.01</f>
        <v>0.50496735452216135</v>
      </c>
      <c r="AQ112" s="303">
        <f>INDEX($A$102:$H$115,MATCH($L112,$B$102:$B$115,0),MATCH($AO$101,$A$102:$H$102,0))*고양시_Modal_split!E$3 * 0.01</f>
        <v>6.1094285503531749E-2</v>
      </c>
      <c r="AR112" s="303">
        <f>INDEX($A$102:$H$115,MATCH($L112,$B$102:$B$115,0),MATCH($AO$101,$A$102:$H$102,0))*고양시_Modal_split!F$3 * 0.01</f>
        <v>9.8459507568960658E-2</v>
      </c>
      <c r="AS112" s="303">
        <f>INDEX($A$102:$H$115,MATCH($L112,$B$102:$B$115,0),MATCH($AO$101,$A$102:$H$102,0))*고양시_Modal_split!G$3 * 0.01</f>
        <v>9.8781621552283313E-3</v>
      </c>
      <c r="AT112" s="303">
        <f>INDEX($A$102:$H$115,MATCH($L112,$B$102:$B$115,0),MATCH($AO$101,$A$102:$H$102,0))*고양시_Modal_split!H$3 * 0.01</f>
        <v>1.0737132777422101E-4</v>
      </c>
      <c r="AU112" s="303">
        <f>INDEX($A$102:$H$115,MATCH($L112,$B$102:$B$115,0),MATCH($AO$101,$A$102:$H$102,0))*고양시_Modal_split!I$3 * 0.01</f>
        <v>2.9849229121233438E-2</v>
      </c>
      <c r="AV112" s="303">
        <f>INDEX($A$102:$H$115,MATCH($L112,$B$102:$B$115,0),MATCH($AO$101,$A$102:$H$102,0))*고양시_Modal_split!J$3 * 0.01</f>
        <v>0.32683832174472877</v>
      </c>
      <c r="AW112" s="303">
        <f>INDEX($A$102:$H$115,MATCH($L112,$B$102:$B$115,0),MATCH($AO$101,$A$102:$H$102,0))*고양시_Modal_split!K$3 * 0.01</f>
        <v>1.610569916613315E-3</v>
      </c>
      <c r="AX112" s="303">
        <f>INDEX($A$102:$H$115,MATCH($L112,$B$102:$B$115,0),MATCH($AO$101,$A$102:$H$102,0))*고양시_Modal_split!L$3 * 0.01</f>
        <v>3.2426140987814746E-2</v>
      </c>
      <c r="AY112" s="303">
        <f>INDEX($A$102:$H$115,MATCH($L112,$B$102:$B$115,0),MATCH($AO$101,$A$102:$H$102,0))*고양시_Modal_split!M$3 * 0.01</f>
        <v>2.4695405388070828E-3</v>
      </c>
      <c r="AZ112" s="303">
        <f>INDEX($A$102:$H$115,MATCH($L112,$B$102:$B$115,0),MATCH($AO$101,$A$102:$H$102,0))*고양시_Modal_split!N$3 * 0.01</f>
        <v>1.0737132777422101E-3</v>
      </c>
      <c r="BA112" s="207">
        <f>INDEX($A$102:$H$115,MATCH($L112,$B$102:$B$115,0),MATCH($AO$101,$A$102:$H$102,0))*고양시_Modal_split!O$3 * 0.01</f>
        <v>1.9326838999359781E-3</v>
      </c>
      <c r="BB112" s="207">
        <f>INDEX($A$102:$H$115,MATCH($L112,$B$102:$B$115,0),MATCH($AO$101,$A$102:$H$102,0))*고양시_Modal_split!P$3 * 0.01</f>
        <v>1.07371327774221</v>
      </c>
      <c r="BC112" s="207">
        <f>INDEX($A$102:$H$115,MATCH($L112,$B$102:$B$115,0),MATCH($BC$101,$A$102:$H$102,0))*고양시_Modal_split!C$3 * 0.01</f>
        <v>8.1529414987882631E-6</v>
      </c>
      <c r="BD112" s="207">
        <f>INDEX($A$102:$H$115,MATCH($L112,$B$102:$B$115,0),MATCH($BC$101,$A$102:$H$102,0))*고양시_Modal_split!D$3 * 0.01</f>
        <v>1.3694029953143288E-3</v>
      </c>
      <c r="BE112" s="207">
        <f>INDEX($A$102:$H$115,MATCH($L112,$B$102:$B$115,0),MATCH($BC$101,$A$102:$H$102,0))*고양시_Modal_split!E$3 * 0.01</f>
        <v>1.6567941831466149E-4</v>
      </c>
      <c r="BF112" s="207">
        <f>INDEX($A$102:$H$115,MATCH($L112,$B$102:$B$115,0),MATCH($BC$101,$A$102:$H$102,0))*고양시_Modal_split!F$3 * 0.01</f>
        <v>2.6700883408531563E-4</v>
      </c>
      <c r="BG112" s="207">
        <f>INDEX($A$102:$H$115,MATCH($L112,$B$102:$B$115,0),MATCH($BC$101,$A$102:$H$102,0))*고양시_Modal_split!G$3 * 0.01</f>
        <v>2.6788236353161437E-5</v>
      </c>
      <c r="BH112" s="207">
        <f>INDEX($A$102:$H$115,MATCH($L112,$B$102:$B$115,0),MATCH($BC$101,$A$102:$H$102,0))*고양시_Modal_split!H$3 * 0.01</f>
        <v>2.9117648209958089E-7</v>
      </c>
      <c r="BI112" s="207">
        <f>INDEX($A$102:$H$115,MATCH($L112,$B$102:$B$115,0),MATCH($BC$101,$A$102:$H$102,0))*고양시_Modal_split!I$3 * 0.01</f>
        <v>8.0947062023683481E-5</v>
      </c>
      <c r="BJ112" s="207">
        <f>INDEX($A$102:$H$115,MATCH($L112,$B$102:$B$115,0),MATCH($BC$101,$A$102:$H$102,0))*고양시_Modal_split!J$3 * 0.01</f>
        <v>8.8634121151112417E-4</v>
      </c>
      <c r="BK112" s="207">
        <f>INDEX($A$102:$H$115,MATCH($L112,$B$102:$B$115,0),MATCH($BC$101,$A$102:$H$102,0))*고양시_Modal_split!K$3 * 0.01</f>
        <v>4.3676472314937129E-6</v>
      </c>
      <c r="BL112" s="207">
        <f>INDEX($A$102:$H$115,MATCH($L112,$B$102:$B$115,0),MATCH($BC$101,$A$102:$H$102,0))*고양시_Modal_split!L$3 * 0.01</f>
        <v>8.7935297594073425E-5</v>
      </c>
      <c r="BM112" s="207">
        <f>INDEX($A$102:$H$115,MATCH($L112,$B$102:$B$115,0),MATCH($BC$101,$A$102:$H$102,0))*고양시_Modal_split!M$3 * 0.01</f>
        <v>6.6970590882903591E-6</v>
      </c>
      <c r="BN112" s="207">
        <f>INDEX($A$102:$H$115,MATCH($L112,$B$102:$B$115,0),MATCH($BC$101,$A$102:$H$102,0))*고양시_Modal_split!N$3 * 0.01</f>
        <v>2.9117648209958089E-6</v>
      </c>
      <c r="BO112" s="207">
        <f>INDEX($A$102:$H$115,MATCH($L112,$B$102:$B$115,0),MATCH($BC$101,$A$102:$H$102,0))*고양시_Modal_split!O$3 * 0.01</f>
        <v>5.2411766777924551E-6</v>
      </c>
      <c r="BP112" s="207">
        <f>INDEX($A$102:$H$115,MATCH($L112,$B$102:$B$115,0),MATCH($BC$101,$A$102:$H$102,0))*고양시_Modal_split!P$3 * 0.01</f>
        <v>2.9117648209958085E-3</v>
      </c>
      <c r="BQ112" s="207">
        <f>INDEX($A$102:$H$115,MATCH($L112,$B$102:$B$115,0),MATCH($BQ$101,$A$102:$H$102,0))*고양시_Modal_split!C$3 * 0.01</f>
        <v>2.3100000913233599E-5</v>
      </c>
      <c r="BR112" s="207">
        <f>INDEX($A$102:$H$115,MATCH($L112,$B$102:$B$115,0),MATCH($BQ$101,$A$102:$H$102,0))*고양시_Modal_split!D$3 * 0.01</f>
        <v>3.8799751533906295E-3</v>
      </c>
      <c r="BS112" s="207">
        <f>INDEX($A$102:$H$115,MATCH($L112,$B$102:$B$115,0),MATCH($BQ$101,$A$102:$H$102,0))*고양시_Modal_split!E$3 * 0.01</f>
        <v>4.6942501855821132E-4</v>
      </c>
      <c r="BT112" s="207">
        <f>INDEX($A$102:$H$115,MATCH($L112,$B$102:$B$115,0),MATCH($BQ$101,$A$102:$H$102,0))*고양시_Modal_split!F$3 * 0.01</f>
        <v>7.5652502990840038E-4</v>
      </c>
      <c r="BU112" s="207">
        <f>INDEX($A$102:$H$115,MATCH($L112,$B$102:$B$115,0),MATCH($BQ$101,$A$102:$H$102,0))*고양시_Modal_split!G$3 * 0.01</f>
        <v>7.590000300062468E-5</v>
      </c>
      <c r="BV112" s="207">
        <f>INDEX($A$102:$H$115,MATCH($L112,$B$102:$B$115,0),MATCH($BQ$101,$A$102:$H$102,0))*고양시_Modal_split!H$3 * 0.01</f>
        <v>8.2500003261548574E-7</v>
      </c>
      <c r="BW112" s="207">
        <f>INDEX($A$102:$H$115,MATCH($L112,$B$102:$B$115,0),MATCH($BQ$101,$A$102:$H$102,0))*고양시_Modal_split!I$3 * 0.01</f>
        <v>2.2935000906710502E-4</v>
      </c>
      <c r="BX112" s="207">
        <f>INDEX($A$102:$H$115,MATCH($L112,$B$102:$B$115,0),MATCH($BQ$101,$A$102:$H$102,0))*고양시_Modal_split!J$3 * 0.01</f>
        <v>2.5113000992815389E-3</v>
      </c>
      <c r="BY112" s="207">
        <f>INDEX($A$102:$H$115,MATCH($L112,$B$102:$B$115,0),MATCH($BQ$101,$A$102:$H$102,0))*고양시_Modal_split!K$3 * 0.01</f>
        <v>1.2375000489232284E-5</v>
      </c>
      <c r="BZ112" s="207">
        <f>INDEX($A$102:$H$115,MATCH($L112,$B$102:$B$115,0),MATCH($BQ$101,$A$102:$H$102,0))*고양시_Modal_split!L$3 * 0.01</f>
        <v>2.4915000984987668E-4</v>
      </c>
      <c r="CA112" s="207">
        <f>INDEX($A$102:$H$115,MATCH($L112,$B$102:$B$115,0),MATCH($BQ$101,$A$102:$H$102,0))*고양시_Modal_split!M$3 * 0.01</f>
        <v>1.897500075015617E-5</v>
      </c>
      <c r="CB112" s="207">
        <f>INDEX($A$102:$H$115,MATCH($L112,$B$102:$B$115,0),MATCH($BQ$101,$A$102:$H$102,0))*고양시_Modal_split!N$3 * 0.01</f>
        <v>8.2500003261548566E-6</v>
      </c>
      <c r="CC112" s="207">
        <f>INDEX($A$102:$H$115,MATCH($L112,$B$102:$B$115,0),MATCH($BQ$101,$A$102:$H$102,0))*고양시_Modal_split!O$3 * 0.01</f>
        <v>1.4850000587078743E-5</v>
      </c>
      <c r="CD112" s="207">
        <f>INDEX($A$102:$H$115,MATCH($L112,$B$102:$B$115,0),MATCH($BQ$101,$A$102:$H$102,0))*고양시_Modal_split!P$3 * 0.01</f>
        <v>8.250000326154857E-3</v>
      </c>
      <c r="CE112" s="304">
        <f t="shared" si="51"/>
        <v>7.9585617852213644E-2</v>
      </c>
      <c r="CF112" s="304">
        <f t="shared" si="47"/>
        <v>13.367541455677168</v>
      </c>
      <c r="CG112" s="304">
        <f t="shared" si="47"/>
        <v>1.6172934484967696</v>
      </c>
      <c r="CH112" s="304">
        <f t="shared" si="47"/>
        <v>2.6064289846599968</v>
      </c>
      <c r="CI112" s="304">
        <f t="shared" si="47"/>
        <v>0.26149560151441625</v>
      </c>
      <c r="CJ112" s="304">
        <f t="shared" si="47"/>
        <v>2.8423434947219156E-3</v>
      </c>
      <c r="CK112" s="304">
        <f t="shared" si="47"/>
        <v>0.79017149153269239</v>
      </c>
      <c r="CL112" s="304">
        <f t="shared" si="47"/>
        <v>8.6520935979335114</v>
      </c>
      <c r="CM112" s="304">
        <f t="shared" si="47"/>
        <v>4.2635152420828729E-2</v>
      </c>
      <c r="CN112" s="304">
        <f t="shared" si="47"/>
        <v>0.85838773540601854</v>
      </c>
      <c r="CO112" s="304">
        <f t="shared" si="47"/>
        <v>6.5373900378604063E-2</v>
      </c>
      <c r="CP112" s="304">
        <f t="shared" si="47"/>
        <v>2.8423434947219158E-2</v>
      </c>
      <c r="CQ112" s="304">
        <f t="shared" si="47"/>
        <v>5.1162182904994469E-2</v>
      </c>
      <c r="CR112" s="304">
        <f t="shared" si="47"/>
        <v>28.423434947219153</v>
      </c>
      <c r="CS112" s="305">
        <f t="shared" si="52"/>
        <v>0</v>
      </c>
      <c r="CV112" s="267"/>
      <c r="CW112" s="267" t="s">
        <v>304</v>
      </c>
      <c r="CX112" s="267">
        <f>INDEX($M$101:$Z$115,MATCH($CW112,$L$101:$L$115,0),MATCH(CX$102,$M$102:$Z$102,0))/INDEX(고양시_재차인원!$D$4:$H$35,MATCH("고양시",고양시_재차인원!$B$4:$B$35,0),MATCH($CX$101,고양시_재차인원!$D$4:$H$4,0))</f>
        <v>1.3080651528158838</v>
      </c>
      <c r="CY112" s="267">
        <f>INDEX($M$101:$Z$115,MATCH($CW112,$L$101:$L$115,0),MATCH(CY$102,$M$102:$Z$102,0))/INDEX(고양시_재차인원!$K$4:$O$20,MATCH("경기도",고양시_재차인원!$K$4:$K$20,0),MATCH(CY$102,고양시_재차인원!$K$4:$O$4,0))</f>
        <v>1.0820087059147983E-5</v>
      </c>
      <c r="CZ112" s="267">
        <f>INDEX($M$101:$Z$115,MATCH($CW112,$L$101:$L$115,0),MATCH(CZ$102,$M$102:$Z$102,0))/INDEX(고양시_재차인원!$K$4:$O$20,MATCH("경기도",고양시_재차인원!$K$4:$K$20,0),MATCH(CZ$102,고양시_재차인원!$K$4:$O$4,0))</f>
        <v>3.0079842024431391E-3</v>
      </c>
      <c r="DA112" s="267">
        <f>INDEX($M$101:$Z$115,MATCH($CW112,$L$101:$L$115,0),MATCH(DA$102,$M$102:$Z$102,0))/INDEX(고양시_재차인원!$D$4:$H$35,MATCH("고양시",고양시_재차인원!$B$4:$B$35,0),MATCH($CX$101,고양시_재차인원!$D$4:$H$4,0))</f>
        <v>8.3996529056006131E-2</v>
      </c>
      <c r="DB112" s="267">
        <f>INDEX($AA$101:$AN$115,MATCH($CW112,$L$101:$L$115,0),MATCH(DB$102,$AA$102:$AN$102,0))/INDEX(고양시_재차인원!$D$4:$H$35,MATCH("고양시",고양시_재차인원!$B$4:$B$35,0),MATCH($DB$101,고양시_재차인원!$D$4:$H$4,0))</f>
        <v>8.0796395403209313</v>
      </c>
      <c r="DC112" s="267">
        <f>INDEX($AA$101:$AN$115,MATCH($CW112,$L$101:$L$115,0),MATCH(DC$102,$AA$102:$AN$102,0))/INDEX(고양시_재차인원!$K$4:$O$20,MATCH("경기도",고양시_재차인원!$K$4:$K$20,0),MATCH(DC$102,고양시_재차인원!$K$4:$O$4,0))</f>
        <v>8.4138439874960363E-5</v>
      </c>
      <c r="DD112" s="267">
        <f>INDEX($AA$101:$AN$115,MATCH($CW112,$L$101:$L$115,0),MATCH(DD$102,$AA$102:$AN$102,0))/INDEX(고양시_재차인원!$K$4:$O$20,MATCH("경기도",고양시_재차인원!$K$4:$K$20,0),MATCH(DD$102,고양시_재차인원!$K$4:$O$4,0))</f>
        <v>2.339048628523898E-2</v>
      </c>
      <c r="DE112" s="267">
        <f>INDEX($AA$101:$AN$115,MATCH($CW112,$L$101:$L$115,0),MATCH(DE$102,$AA$102:$AN$102,0))/INDEX(고양시_재차인원!$D$4:$H$35,MATCH("고양시",고양시_재차인원!$B$4:$B$35,0),MATCH($DB$101,고양시_재차인원!$D$4:$H$4,0))</f>
        <v>0.51882865004825029</v>
      </c>
      <c r="DF112" s="267">
        <f>INDEX($AO$101:$BB$115,MATCH($CW112,$L$101:$L$115,0),MATCH(DF$102,$AO$102:$BB$102,0))/INDEX(고양시_재차인원!$D$4:$H$35,MATCH("고양시",고양시_재차인원!$B$4:$B$35,0),MATCH($DF$101,고양시_재차인원!$D$4:$H$4,0))</f>
        <v>0.3884364265555087</v>
      </c>
      <c r="DG112" s="267">
        <f>INDEX($AO$101:$BB$115,MATCH($CW112,$L$101:$L$115,0),MATCH(DG$102,$AO$102:$BB$102,0))/INDEX(고양시_재차인원!$K$4:$O$20,MATCH("경기도",고양시_재차인원!$K$4:$K$20,0),MATCH(DG$102,고양시_재차인원!$K$4:$O$4,0))</f>
        <v>3.7294660567634949E-6</v>
      </c>
      <c r="DH112" s="267">
        <f>INDEX($AO$101:$BB$115,MATCH($CW112,$L$101:$L$115,0),MATCH(DH$102,$AO$102:$BB$102,0))/INDEX(고양시_재차인원!$K$4:$O$20,MATCH("경기도",고양시_재차인원!$K$4:$K$20,0),MATCH(DH$102,고양시_재차인원!$K$4:$O$4,0))</f>
        <v>1.0367915637802514E-3</v>
      </c>
      <c r="DI112" s="267">
        <f>INDEX($AO$101:$BB$115,MATCH($CW112,$L$101:$L$115,0),MATCH(DI$102,$AO$102:$BB$102,0))/INDEX(고양시_재차인원!$D$4:$H$35,MATCH("고양시",고양시_재차인원!$B$4:$B$35,0),MATCH($DF$101,고양시_재차인원!$D$4:$H$4,0))</f>
        <v>2.4943185375242111E-2</v>
      </c>
      <c r="DJ112" s="267">
        <f>INDEX($BC$101:$BP$115,MATCH($CW112,$L$101:$L$115,0),MATCH(DJ$102,$BC$102:$BP$102,0))/INDEX(고양시_재차인원!$D$4:$H$35,MATCH("고양시",고양시_재차인원!$B$4:$B$35,0),MATCH($DJ$101,고양시_재차인원!$D$4:$H$4,0))</f>
        <v>1.0069139671428887E-3</v>
      </c>
      <c r="DK112" s="267">
        <f>INDEX($BC$101:$BP$115,MATCH($CW112,$L$101:$L$115,0),MATCH(DK$102,$BC$102:$BP$102,0))/INDEX(고양시_재차인원!$K$4:$O$20,MATCH("경기도",고양시_재차인원!$K$4:$K$20,0),MATCH(DK$102,고양시_재차인원!$K$4:$O$4,0))</f>
        <v>1.0113806255629764E-8</v>
      </c>
      <c r="DL112" s="267">
        <f>INDEX($BC$101:$BP$115,MATCH($CW112,$L$101:$L$115,0),MATCH(DL$102,$BC$102:$BP$102,0))/INDEX(고양시_재차인원!$K$4:$O$20,MATCH("경기도",고양시_재차인원!$K$4:$K$20,0),MATCH(DL$102,고양시_재차인원!$K$4:$O$4,0))</f>
        <v>2.811638139065074E-6</v>
      </c>
      <c r="DM112" s="267">
        <f>INDEX($BC$101:$BP$115,MATCH($CW112,$L$101:$L$115,0),MATCH(DM$102,$BC$102:$BP$102,0))/INDEX(고양시_재차인원!$D$4:$H$35,MATCH("고양시",고양시_재차인원!$B$4:$B$35,0),MATCH($DJ$101,고양시_재차인원!$D$4:$H$4,0))</f>
        <v>6.4658307054465746E-5</v>
      </c>
      <c r="DN112" s="267">
        <f>INDEX($BQ$101:$CD$115,MATCH($CW112,$L$101:$L$115,0),MATCH(DN$102,$BQ$102:$CD$102,0))/INDEX(고양시_재차인원!$D$4:$H$35,MATCH("고양시",고양시_재차인원!$B$4:$B$35,0),MATCH($DN$101,고양시_재차인원!$D$4:$H$4,0))</f>
        <v>3.0793453598338331E-3</v>
      </c>
      <c r="DO112" s="267">
        <f>INDEX($BQ$101:$CD$115,MATCH($CW112,$L$101:$L$115,0),MATCH(DO$102,$BQ$102:$CD$102,0))/INDEX(고양시_재차인원!$K$4:$O$20,MATCH("경기도",고양시_재차인원!$K$4:$K$20,0),MATCH(DO$102,고양시_재차인원!$K$4:$O$4,0))</f>
        <v>2.8655784390951226E-8</v>
      </c>
      <c r="DP112" s="267">
        <f>INDEX($BQ$101:$CD$115,MATCH($CW112,$L$101:$L$115,0),MATCH(DP$102,$BQ$102:$CD$102,0))/INDEX(고양시_재차인원!$K$4:$O$20,MATCH("경기도",고양시_재차인원!$K$4:$K$20,0),MATCH(DP$102,고양시_재차인원!$K$4:$O$4,0))</f>
        <v>7.9663080606844393E-6</v>
      </c>
      <c r="DQ112" s="267">
        <f>INDEX($BQ$101:$CD$115,MATCH($CW112,$L$101:$L$115,0),MATCH(DQ$102,$BQ$102:$CD$102,0))/INDEX(고양시_재차인원!$D$4:$H$35,MATCH("고양시",고양시_재차인원!$B$4:$B$35,0),MATCH($DN$101,고양시_재차인원!$D$4:$H$4,0))</f>
        <v>1.9773810305545768E-4</v>
      </c>
      <c r="DR112" s="270">
        <f t="shared" si="53"/>
        <v>9.7802273790192995</v>
      </c>
      <c r="DS112" s="270">
        <f t="shared" si="48"/>
        <v>9.8726762581518429E-5</v>
      </c>
      <c r="DT112" s="270">
        <f t="shared" si="48"/>
        <v>2.7446039997662118E-2</v>
      </c>
      <c r="DU112" s="270">
        <f t="shared" si="48"/>
        <v>0.62803076088960852</v>
      </c>
      <c r="DW112" s="278"/>
      <c r="DX112" s="278" t="s">
        <v>304</v>
      </c>
      <c r="DY112" s="281">
        <f t="shared" si="54"/>
        <v>10.408258139908908</v>
      </c>
      <c r="DZ112" s="281">
        <f t="shared" si="55"/>
        <v>2.7544766760243637E-2</v>
      </c>
      <c r="EB112" s="278"/>
      <c r="EC112" s="278" t="s">
        <v>304</v>
      </c>
      <c r="ED112" s="281">
        <f t="shared" si="56"/>
        <v>10.408258139908908</v>
      </c>
      <c r="EE112" s="281">
        <f t="shared" si="49"/>
        <v>2.7544766760243637E-2</v>
      </c>
      <c r="EL112" s="306" t="s">
        <v>667</v>
      </c>
      <c r="EM112" s="306" t="s">
        <v>220</v>
      </c>
      <c r="EN112" s="306">
        <v>51875.97</v>
      </c>
      <c r="EO112" s="306">
        <v>0.27933686355182291</v>
      </c>
      <c r="EP112" s="307">
        <v>849110</v>
      </c>
      <c r="EQ112" s="308">
        <f t="shared" si="57"/>
        <v>1205.2772753186237</v>
      </c>
      <c r="ER112" s="308">
        <f t="shared" si="58"/>
        <v>3.1896865915322126</v>
      </c>
      <c r="ET112" s="420" t="s">
        <v>667</v>
      </c>
      <c r="EU112" s="420" t="s">
        <v>220</v>
      </c>
      <c r="EV112" s="420">
        <v>51875.97</v>
      </c>
      <c r="EW112" s="420">
        <v>0.27933686355182291</v>
      </c>
      <c r="EX112" s="421">
        <v>849110</v>
      </c>
      <c r="EY112" s="422">
        <f t="shared" si="59"/>
        <v>1170.9268729720429</v>
      </c>
      <c r="EZ112" s="422">
        <f t="shared" si="60"/>
        <v>3.0987805236735446</v>
      </c>
      <c r="FA112">
        <v>0</v>
      </c>
      <c r="FD112" s="306" t="s">
        <v>667</v>
      </c>
      <c r="FE112" s="306" t="s">
        <v>220</v>
      </c>
      <c r="FF112" s="306">
        <v>51875.97</v>
      </c>
      <c r="FG112" s="306">
        <v>0.27933686355182291</v>
      </c>
      <c r="FH112" s="307">
        <v>849110</v>
      </c>
      <c r="FI112" s="308">
        <f t="shared" si="61"/>
        <v>1170.9268729720429</v>
      </c>
      <c r="FJ112" s="308">
        <f t="shared" si="50"/>
        <v>3.0987805236735446</v>
      </c>
      <c r="FL112" s="101"/>
      <c r="FM112" s="101"/>
      <c r="FN112" s="101"/>
      <c r="FO112" s="101"/>
      <c r="FP112" s="374"/>
      <c r="FQ112" s="404"/>
      <c r="FR112" s="404"/>
    </row>
    <row r="113" spans="1:174" ht="25">
      <c r="A113" s="205"/>
      <c r="B113" s="205" t="s">
        <v>305</v>
      </c>
      <c r="C113" s="400">
        <f>$AB71*KTDB_TripDistribution_2040!L$12 * (1+KTDB_발생량도착량_증가율!$C$8*2) * (1+KTDB_발생량도착량_증가율!$D$7*5) * (1+KTDB_발생량도착량_증가율!$E$7*5) * (1+KTDB_발생량도착량_증가율!$F$7*5)</f>
        <v>9.6234433951583185</v>
      </c>
      <c r="D113" s="400">
        <f>$AB71*KTDB_TripDistribution_2040!M$12 * (1+KTDB_발생량도착량_증가율!$C$8*2) * (1+KTDB_발생량도착량_증가율!$D$7*5) * (1+KTDB_발생량도착량_증가율!$E$7*5) * (1+KTDB_발생량도착량_증가율!$F$7*5)</f>
        <v>74.833179166431933</v>
      </c>
      <c r="E113" s="400">
        <f>$AB71*KTDB_TripDistribution_2040!N$12 * (1+KTDB_발생량도착량_증가율!$C$8*2) * (1+KTDB_발생량도착량_증가율!$D$7*5) * (1+KTDB_발생량도착량_증가율!$E$7*5) * (1+KTDB_발생량도착량_증가율!$F$7*5)</f>
        <v>3.3170070901678979</v>
      </c>
      <c r="F113" s="400">
        <f>$AB71*KTDB_TripDistribution_2040!O$12 * (1+KTDB_발생량도착량_증가율!$C$8*2) * (1+KTDB_발생량도착량_증가율!$D$7*5) * (1+KTDB_발생량도착량_증가율!$E$7*5) * (1+KTDB_발생량도착량_증가율!$F$7*5)</f>
        <v>8.9952734648620549E-3</v>
      </c>
      <c r="G113" s="400">
        <f>$AB71*KTDB_TripDistribution_2040!P$12 * (1+KTDB_발생량도착량_증가율!$C$8*2) * (1+KTDB_발생량도착량_증가율!$D$7*5) * (1+KTDB_발생량도착량_증가율!$E$7*5) * (1+KTDB_발생량도착량_증가율!$F$7*5)</f>
        <v>2.548660815044269E-2</v>
      </c>
      <c r="H113" s="400">
        <f>$AB71*KTDB_TripDistribution_2040!Q$12 * (1+KTDB_발생량도착량_증가율!$C$8*2) * (1+KTDB_발생량도착량_증가율!$D$7*5) * (1+KTDB_발생량도착량_증가율!$E$7*5) * (1+KTDB_발생량도착량_증가율!$F$7*5)</f>
        <v>87.808111533373463</v>
      </c>
      <c r="I113" s="56"/>
      <c r="J113" s="56"/>
      <c r="K113" s="206"/>
      <c r="L113" s="206" t="s">
        <v>305</v>
      </c>
      <c r="M113" s="206">
        <f>INDEX($A$102:$H$115,MATCH($L113,$B$102:$B$115,0),MATCH($M$101,$A$102:$H$102,0))*고양시_Modal_split!C$3 * 0.01</f>
        <v>2.6945641506443289E-2</v>
      </c>
      <c r="N113" s="206">
        <f>INDEX($A$102:$H$115,MATCH($L113,$B$102:$B$115,0),MATCH($M$101,$A$102:$H$102,0))*고양시_Modal_split!D$3 * 0.01</f>
        <v>4.5259054287429574</v>
      </c>
      <c r="O113" s="206">
        <f>INDEX($A$102:$H$115,MATCH($L113,$B$102:$B$115,0),MATCH($M$101,$A$102:$H$102,0))*고양시_Modal_split!E$3 * 0.01</f>
        <v>0.54757392918450831</v>
      </c>
      <c r="P113" s="206">
        <f>INDEX($A$102:$H$115,MATCH($L113,$B$102:$B$115,0),MATCH($M$101,$A$102:$H$102,0))*고양시_Modal_split!F$3 * 0.01</f>
        <v>0.88246975933601779</v>
      </c>
      <c r="Q113" s="206">
        <f>INDEX($A$102:$H$115,MATCH($L113,$B$102:$B$115,0),MATCH($M$101,$A$102:$H$102,0))*고양시_Modal_split!G$3 * 0.01</f>
        <v>8.8535679235456521E-2</v>
      </c>
      <c r="R113" s="206">
        <f>INDEX($A$102:$H$115,MATCH($L113,$B$102:$B$115,0),MATCH($M$101,$A$102:$H$102,0))*고양시_Modal_split!H$3 * 0.01</f>
        <v>9.6234433951583186E-4</v>
      </c>
      <c r="S113" s="206">
        <f>INDEX($A$102:$H$115,MATCH($L113,$B$102:$B$115,0),MATCH($M$101,$A$102:$H$102,0))*고양시_Modal_split!I$3 * 0.01</f>
        <v>0.26753172638540124</v>
      </c>
      <c r="T113" s="206">
        <f>INDEX($A$102:$H$115,MATCH($L113,$B$102:$B$115,0),MATCH($M$101,$A$102:$H$102,0))*고양시_Modal_split!J$3 * 0.01</f>
        <v>2.9293761694861922</v>
      </c>
      <c r="U113" s="206">
        <f>INDEX($A$102:$H$115,MATCH($L113,$B$102:$B$115,0),MATCH($M$101,$A$102:$H$102,0))*고양시_Modal_split!K$3 * 0.01</f>
        <v>1.4435165092737477E-2</v>
      </c>
      <c r="V113" s="206">
        <f>INDEX($A$102:$H$115,MATCH($L113,$B$102:$B$115,0),MATCH($M$101,$A$102:$H$102,0))*고양시_Modal_split!L$3 * 0.01</f>
        <v>0.29062799053378124</v>
      </c>
      <c r="W113" s="206">
        <f>INDEX($A$102:$H$115,MATCH($L113,$B$102:$B$115,0),MATCH($M$101,$A$102:$H$102,0))*고양시_Modal_split!M$3 * 0.01</f>
        <v>2.213391980886413E-2</v>
      </c>
      <c r="X113" s="206">
        <f>INDEX($A$102:$H$115,MATCH($L113,$B$102:$B$115,0),MATCH($M$101,$A$102:$H$102,0))*고양시_Modal_split!N$3 * 0.01</f>
        <v>9.6234433951583181E-3</v>
      </c>
      <c r="Y113" s="206">
        <f>INDEX($A$102:$H$115,MATCH($L113,$B$102:$B$115,0),MATCH($M$101,$A$102:$H$102,0))*고양시_Modal_split!O$3 * 0.01</f>
        <v>1.7322198111284971E-2</v>
      </c>
      <c r="Z113" s="209">
        <f>INDEX($A$102:$H$115,MATCH($L113,$B$102:$B$115,0),MATCH($M$101,$A$102:$H$102,0))*고양시_Modal_split!P$3 * 0.01</f>
        <v>9.6234433951583185</v>
      </c>
      <c r="AA113" s="207">
        <f>INDEX($A$102:$H$115,MATCH($L113,$B$102:$B$115,0),MATCH($AA$101,$A$102:$H$102,0))*고양시_Modal_split!C$3 * 0.01</f>
        <v>0.20953290166600941</v>
      </c>
      <c r="AB113" s="207">
        <f>INDEX($A$102:$H$115,MATCH($L113,$B$102:$B$115,0),MATCH($AA$101,$A$102:$H$102,0))*고양시_Modal_split!D$3 * 0.01</f>
        <v>35.19404416197294</v>
      </c>
      <c r="AC113" s="207">
        <f>INDEX($A$102:$H$115,MATCH($L113,$B$102:$B$115,0),MATCH($AA$101,$A$102:$H$102,0))*고양시_Modal_split!E$3 * 0.01</f>
        <v>4.2580078945699764</v>
      </c>
      <c r="AD113" s="207">
        <f>INDEX($A$102:$H$115,MATCH($L113,$B$102:$B$115,0),MATCH($AA$101,$A$102:$H$102,0))*고양시_Modal_split!F$3 * 0.01</f>
        <v>6.8622025295618085</v>
      </c>
      <c r="AE113" s="207">
        <f>INDEX($A$102:$H$115,MATCH($L113,$B$102:$B$115,0),MATCH($AA$101,$A$102:$H$102,0))*고양시_Modal_split!G$3 * 0.01</f>
        <v>0.68846524833117373</v>
      </c>
      <c r="AF113" s="207">
        <f>INDEX($A$102:$H$115,MATCH($L113,$B$102:$B$115,0),MATCH($AA$101,$A$102:$H$102,0))*고양시_Modal_split!H$3 * 0.01</f>
        <v>7.4833179166431934E-3</v>
      </c>
      <c r="AG113" s="207">
        <f>INDEX($A$102:$H$115,MATCH($L113,$B$102:$B$115,0),MATCH($AA$101,$A$102:$H$102,0))*고양시_Modal_split!I$3 * 0.01</f>
        <v>2.0803623808268079</v>
      </c>
      <c r="AH113" s="207">
        <f>INDEX($A$102:$H$115,MATCH($L113,$B$102:$B$115,0),MATCH($AA$101,$A$102:$H$102,0))*고양시_Modal_split!J$3 * 0.01</f>
        <v>22.779219738261883</v>
      </c>
      <c r="AI113" s="207">
        <f>INDEX($A$102:$H$115,MATCH($L113,$B$102:$B$115,0),MATCH($AA$101,$A$102:$H$102,0))*고양시_Modal_split!K$3 * 0.01</f>
        <v>0.1122497687496479</v>
      </c>
      <c r="AJ113" s="207">
        <f>INDEX($A$102:$H$115,MATCH($L113,$B$102:$B$115,0),MATCH($AA$101,$A$102:$H$102,0))*고양시_Modal_split!L$3 * 0.01</f>
        <v>2.2599620108262441</v>
      </c>
      <c r="AK113" s="207">
        <f>INDEX($A$102:$H$115,MATCH($L113,$B$102:$B$115,0),MATCH($AA$101,$A$102:$H$102,0))*고양시_Modal_split!M$3 * 0.01</f>
        <v>0.17211631208279343</v>
      </c>
      <c r="AL113" s="207">
        <f>INDEX($A$102:$H$115,MATCH($L113,$B$102:$B$115,0),MATCH($AA$101,$A$102:$H$102,0))*고양시_Modal_split!N$3 * 0.01</f>
        <v>7.4833179166431937E-2</v>
      </c>
      <c r="AM113" s="207">
        <f>INDEX($A$102:$H$115,MATCH($L113,$B$102:$B$115,0),MATCH($AA$101,$A$102:$H$102,0))*고양시_Modal_split!O$3 * 0.01</f>
        <v>0.13469972249957748</v>
      </c>
      <c r="AN113" s="207">
        <f>INDEX($A$102:$H$115,MATCH($L113,$B$102:$B$115,0),MATCH($AA$101,$A$102:$H$102,0))*고양시_Modal_split!P$3 * 0.01</f>
        <v>74.833179166431933</v>
      </c>
      <c r="AO113" s="303">
        <f>INDEX($A$102:$H$115,MATCH($L113,$B$102:$B$115,0),MATCH($AO$101,$A$102:$H$102,0))*고양시_Modal_split!C$3 * 0.01</f>
        <v>9.2876198524701123E-3</v>
      </c>
      <c r="AP113" s="303">
        <f>INDEX($A$102:$H$115,MATCH($L113,$B$102:$B$115,0),MATCH($AO$101,$A$102:$H$102,0))*고양시_Modal_split!D$3 * 0.01</f>
        <v>1.5599884345059625</v>
      </c>
      <c r="AQ113" s="303">
        <f>INDEX($A$102:$H$115,MATCH($L113,$B$102:$B$115,0),MATCH($AO$101,$A$102:$H$102,0))*고양시_Modal_split!E$3 * 0.01</f>
        <v>0.18873770343055338</v>
      </c>
      <c r="AR113" s="303">
        <f>INDEX($A$102:$H$115,MATCH($L113,$B$102:$B$115,0),MATCH($AO$101,$A$102:$H$102,0))*고양시_Modal_split!F$3 * 0.01</f>
        <v>0.30416955016839625</v>
      </c>
      <c r="AS113" s="303">
        <f>INDEX($A$102:$H$115,MATCH($L113,$B$102:$B$115,0),MATCH($AO$101,$A$102:$H$102,0))*고양시_Modal_split!G$3 * 0.01</f>
        <v>3.0516465229544657E-2</v>
      </c>
      <c r="AT113" s="303">
        <f>INDEX($A$102:$H$115,MATCH($L113,$B$102:$B$115,0),MATCH($AO$101,$A$102:$H$102,0))*고양시_Modal_split!H$3 * 0.01</f>
        <v>3.3170070901678976E-4</v>
      </c>
      <c r="AU113" s="303">
        <f>INDEX($A$102:$H$115,MATCH($L113,$B$102:$B$115,0),MATCH($AO$101,$A$102:$H$102,0))*고양시_Modal_split!I$3 * 0.01</f>
        <v>9.2212797106667549E-2</v>
      </c>
      <c r="AV113" s="303">
        <f>INDEX($A$102:$H$115,MATCH($L113,$B$102:$B$115,0),MATCH($AO$101,$A$102:$H$102,0))*고양시_Modal_split!J$3 * 0.01</f>
        <v>1.009696958247108</v>
      </c>
      <c r="AW113" s="303">
        <f>INDEX($A$102:$H$115,MATCH($L113,$B$102:$B$115,0),MATCH($AO$101,$A$102:$H$102,0))*고양시_Modal_split!K$3 * 0.01</f>
        <v>4.9755106352518466E-3</v>
      </c>
      <c r="AX113" s="303">
        <f>INDEX($A$102:$H$115,MATCH($L113,$B$102:$B$115,0),MATCH($AO$101,$A$102:$H$102,0))*고양시_Modal_split!L$3 * 0.01</f>
        <v>0.10017361412307052</v>
      </c>
      <c r="AY113" s="303">
        <f>INDEX($A$102:$H$115,MATCH($L113,$B$102:$B$115,0),MATCH($AO$101,$A$102:$H$102,0))*고양시_Modal_split!M$3 * 0.01</f>
        <v>7.6291163073861643E-3</v>
      </c>
      <c r="AZ113" s="303">
        <f>INDEX($A$102:$H$115,MATCH($L113,$B$102:$B$115,0),MATCH($AO$101,$A$102:$H$102,0))*고양시_Modal_split!N$3 * 0.01</f>
        <v>3.3170070901678982E-3</v>
      </c>
      <c r="BA113" s="207">
        <f>INDEX($A$102:$H$115,MATCH($L113,$B$102:$B$115,0),MATCH($AO$101,$A$102:$H$102,0))*고양시_Modal_split!O$3 * 0.01</f>
        <v>5.9706127623022154E-3</v>
      </c>
      <c r="BB113" s="207">
        <f>INDEX($A$102:$H$115,MATCH($L113,$B$102:$B$115,0),MATCH($AO$101,$A$102:$H$102,0))*고양시_Modal_split!P$3 * 0.01</f>
        <v>3.3170070901678983</v>
      </c>
      <c r="BC113" s="207">
        <f>INDEX($A$102:$H$115,MATCH($L113,$B$102:$B$115,0),MATCH($BC$101,$A$102:$H$102,0))*고양시_Modal_split!C$3 * 0.01</f>
        <v>2.5186765701613753E-5</v>
      </c>
      <c r="BD113" s="207">
        <f>INDEX($A$102:$H$115,MATCH($L113,$B$102:$B$115,0),MATCH($BC$101,$A$102:$H$102,0))*고양시_Modal_split!D$3 * 0.01</f>
        <v>4.2304771105246249E-3</v>
      </c>
      <c r="BE113" s="207">
        <f>INDEX($A$102:$H$115,MATCH($L113,$B$102:$B$115,0),MATCH($BC$101,$A$102:$H$102,0))*고양시_Modal_split!E$3 * 0.01</f>
        <v>5.1183106015065087E-4</v>
      </c>
      <c r="BF113" s="207">
        <f>INDEX($A$102:$H$115,MATCH($L113,$B$102:$B$115,0),MATCH($BC$101,$A$102:$H$102,0))*고양시_Modal_split!F$3 * 0.01</f>
        <v>8.2486657672785043E-4</v>
      </c>
      <c r="BG113" s="207">
        <f>INDEX($A$102:$H$115,MATCH($L113,$B$102:$B$115,0),MATCH($BC$101,$A$102:$H$102,0))*고양시_Modal_split!G$3 * 0.01</f>
        <v>8.2756515876730892E-5</v>
      </c>
      <c r="BH113" s="207">
        <f>INDEX($A$102:$H$115,MATCH($L113,$B$102:$B$115,0),MATCH($BC$101,$A$102:$H$102,0))*고양시_Modal_split!H$3 * 0.01</f>
        <v>8.995273464862055E-7</v>
      </c>
      <c r="BI113" s="207">
        <f>INDEX($A$102:$H$115,MATCH($L113,$B$102:$B$115,0),MATCH($BC$101,$A$102:$H$102,0))*고양시_Modal_split!I$3 * 0.01</f>
        <v>2.5006860232316513E-4</v>
      </c>
      <c r="BJ113" s="207">
        <f>INDEX($A$102:$H$115,MATCH($L113,$B$102:$B$115,0),MATCH($BC$101,$A$102:$H$102,0))*고양시_Modal_split!J$3 * 0.01</f>
        <v>2.7381612427040099E-3</v>
      </c>
      <c r="BK113" s="207">
        <f>INDEX($A$102:$H$115,MATCH($L113,$B$102:$B$115,0),MATCH($BC$101,$A$102:$H$102,0))*고양시_Modal_split!K$3 * 0.01</f>
        <v>1.3492910197293081E-5</v>
      </c>
      <c r="BL113" s="207">
        <f>INDEX($A$102:$H$115,MATCH($L113,$B$102:$B$115,0),MATCH($BC$101,$A$102:$H$102,0))*고양시_Modal_split!L$3 * 0.01</f>
        <v>2.7165725863883406E-4</v>
      </c>
      <c r="BM113" s="207">
        <f>INDEX($A$102:$H$115,MATCH($L113,$B$102:$B$115,0),MATCH($BC$101,$A$102:$H$102,0))*고양시_Modal_split!M$3 * 0.01</f>
        <v>2.0689128969182723E-5</v>
      </c>
      <c r="BN113" s="207">
        <f>INDEX($A$102:$H$115,MATCH($L113,$B$102:$B$115,0),MATCH($BC$101,$A$102:$H$102,0))*고양시_Modal_split!N$3 * 0.01</f>
        <v>8.9952734648620555E-6</v>
      </c>
      <c r="BO113" s="207">
        <f>INDEX($A$102:$H$115,MATCH($L113,$B$102:$B$115,0),MATCH($BC$101,$A$102:$H$102,0))*고양시_Modal_split!O$3 * 0.01</f>
        <v>1.6191492236751699E-5</v>
      </c>
      <c r="BP113" s="207">
        <f>INDEX($A$102:$H$115,MATCH($L113,$B$102:$B$115,0),MATCH($BC$101,$A$102:$H$102,0))*고양시_Modal_split!P$3 * 0.01</f>
        <v>8.9952734648620549E-3</v>
      </c>
      <c r="BQ113" s="207">
        <f>INDEX($A$102:$H$115,MATCH($L113,$B$102:$B$115,0),MATCH($BQ$101,$A$102:$H$102,0))*고양시_Modal_split!C$3 * 0.01</f>
        <v>7.1362502821239532E-5</v>
      </c>
      <c r="BR113" s="207">
        <f>INDEX($A$102:$H$115,MATCH($L113,$B$102:$B$115,0),MATCH($BQ$101,$A$102:$H$102,0))*고양시_Modal_split!D$3 * 0.01</f>
        <v>1.1986351813153199E-2</v>
      </c>
      <c r="BS113" s="207">
        <f>INDEX($A$102:$H$115,MATCH($L113,$B$102:$B$115,0),MATCH($BQ$101,$A$102:$H$102,0))*고양시_Modal_split!E$3 * 0.01</f>
        <v>1.4501880037601888E-3</v>
      </c>
      <c r="BT113" s="207">
        <f>INDEX($A$102:$H$115,MATCH($L113,$B$102:$B$115,0),MATCH($BQ$101,$A$102:$H$102,0))*고양시_Modal_split!F$3 * 0.01</f>
        <v>2.3371219673955948E-3</v>
      </c>
      <c r="BU113" s="207">
        <f>INDEX($A$102:$H$115,MATCH($L113,$B$102:$B$115,0),MATCH($BQ$101,$A$102:$H$102,0))*고양시_Modal_split!G$3 * 0.01</f>
        <v>2.3447679498407272E-4</v>
      </c>
      <c r="BV113" s="207">
        <f>INDEX($A$102:$H$115,MATCH($L113,$B$102:$B$115,0),MATCH($BQ$101,$A$102:$H$102,0))*고양시_Modal_split!H$3 * 0.01</f>
        <v>2.5486608150442694E-6</v>
      </c>
      <c r="BW113" s="207">
        <f>INDEX($A$102:$H$115,MATCH($L113,$B$102:$B$115,0),MATCH($BQ$101,$A$102:$H$102,0))*고양시_Modal_split!I$3 * 0.01</f>
        <v>7.085277065823068E-4</v>
      </c>
      <c r="BX113" s="207">
        <f>INDEX($A$102:$H$115,MATCH($L113,$B$102:$B$115,0),MATCH($BQ$101,$A$102:$H$102,0))*고양시_Modal_split!J$3 * 0.01</f>
        <v>7.7581235209947556E-3</v>
      </c>
      <c r="BY113" s="207">
        <f>INDEX($A$102:$H$115,MATCH($L113,$B$102:$B$115,0),MATCH($BQ$101,$A$102:$H$102,0))*고양시_Modal_split!K$3 * 0.01</f>
        <v>3.8229912225664035E-5</v>
      </c>
      <c r="BZ113" s="207">
        <f>INDEX($A$102:$H$115,MATCH($L113,$B$102:$B$115,0),MATCH($BQ$101,$A$102:$H$102,0))*고양시_Modal_split!L$3 * 0.01</f>
        <v>7.696955661433692E-4</v>
      </c>
      <c r="CA113" s="207">
        <f>INDEX($A$102:$H$115,MATCH($L113,$B$102:$B$115,0),MATCH($BQ$101,$A$102:$H$102,0))*고양시_Modal_split!M$3 * 0.01</f>
        <v>5.861919874601818E-5</v>
      </c>
      <c r="CB113" s="207">
        <f>INDEX($A$102:$H$115,MATCH($L113,$B$102:$B$115,0),MATCH($BQ$101,$A$102:$H$102,0))*고양시_Modal_split!N$3 * 0.01</f>
        <v>2.5486608150442693E-5</v>
      </c>
      <c r="CC113" s="207">
        <f>INDEX($A$102:$H$115,MATCH($L113,$B$102:$B$115,0),MATCH($BQ$101,$A$102:$H$102,0))*고양시_Modal_split!O$3 * 0.01</f>
        <v>4.5875894670796842E-5</v>
      </c>
      <c r="CD113" s="207">
        <f>INDEX($A$102:$H$115,MATCH($L113,$B$102:$B$115,0),MATCH($BQ$101,$A$102:$H$102,0))*고양시_Modal_split!P$3 * 0.01</f>
        <v>2.548660815044269E-2</v>
      </c>
      <c r="CE113" s="304">
        <f t="shared" si="51"/>
        <v>0.2458627122934457</v>
      </c>
      <c r="CF113" s="304">
        <f t="shared" si="47"/>
        <v>41.296154854145541</v>
      </c>
      <c r="CG113" s="304">
        <f t="shared" si="47"/>
        <v>4.9962815462489498</v>
      </c>
      <c r="CH113" s="304">
        <f t="shared" si="47"/>
        <v>8.0520038276103456</v>
      </c>
      <c r="CI113" s="304">
        <f t="shared" si="47"/>
        <v>0.80783462610703582</v>
      </c>
      <c r="CJ113" s="304">
        <f t="shared" si="47"/>
        <v>8.7808111533373475E-3</v>
      </c>
      <c r="CK113" s="304">
        <f t="shared" si="47"/>
        <v>2.4410655006277824</v>
      </c>
      <c r="CL113" s="304">
        <f t="shared" si="47"/>
        <v>26.728789150758882</v>
      </c>
      <c r="CM113" s="304">
        <f t="shared" si="47"/>
        <v>0.13171216730006016</v>
      </c>
      <c r="CN113" s="304">
        <f t="shared" si="47"/>
        <v>2.6518049683078782</v>
      </c>
      <c r="CO113" s="304">
        <f t="shared" si="47"/>
        <v>0.20195865652675896</v>
      </c>
      <c r="CP113" s="304">
        <f t="shared" si="47"/>
        <v>8.7808111533373451E-2</v>
      </c>
      <c r="CQ113" s="304">
        <f t="shared" si="47"/>
        <v>0.15805460076007222</v>
      </c>
      <c r="CR113" s="304">
        <f t="shared" si="47"/>
        <v>87.808111533373449</v>
      </c>
      <c r="CS113" s="305">
        <f t="shared" si="52"/>
        <v>0</v>
      </c>
      <c r="CV113" s="267"/>
      <c r="CW113" s="267" t="s">
        <v>305</v>
      </c>
      <c r="CX113" s="267">
        <f>INDEX($M$101:$Z$115,MATCH($CW113,$L$101:$L$115,0),MATCH(CX$102,$M$102:$Z$102,0))/INDEX(고양시_재차인원!$D$4:$H$35,MATCH("고양시",고양시_재차인원!$B$4:$B$35,0),MATCH($CX$101,고양시_재차인원!$D$4:$H$4,0))</f>
        <v>4.0409869899490687</v>
      </c>
      <c r="CY113" s="267">
        <f>INDEX($M$101:$Z$115,MATCH($CW113,$L$101:$L$115,0),MATCH(CY$102,$M$102:$Z$102,0))/INDEX(고양시_재차인원!$K$4:$O$20,MATCH("경기도",고양시_재차인원!$K$4:$K$20,0),MATCH(CY$102,고양시_재차인원!$K$4:$O$4,0))</f>
        <v>3.3426340379153589E-5</v>
      </c>
      <c r="CZ113" s="267">
        <f>INDEX($M$101:$Z$115,MATCH($CW113,$L$101:$L$115,0),MATCH(CZ$102,$M$102:$Z$102,0))/INDEX(고양시_재차인원!$K$4:$O$20,MATCH("경기도",고양시_재차인원!$K$4:$K$20,0),MATCH(CZ$102,고양시_재차인원!$K$4:$O$4,0))</f>
        <v>9.2925226254046978E-3</v>
      </c>
      <c r="DA113" s="267">
        <f>INDEX($M$101:$Z$115,MATCH($CW113,$L$101:$L$115,0),MATCH(DA$102,$M$102:$Z$102,0))/INDEX(고양시_재차인원!$D$4:$H$35,MATCH("고양시",고양시_재차인원!$B$4:$B$35,0),MATCH($CX$101,고양시_재차인원!$D$4:$H$4,0))</f>
        <v>0.25948927726230464</v>
      </c>
      <c r="DB113" s="267">
        <f>INDEX($AA$101:$AN$115,MATCH($CW113,$L$101:$L$115,0),MATCH(DB$102,$AA$102:$AN$102,0))/INDEX(고양시_재차인원!$D$4:$H$35,MATCH("고양시",고양시_재차인원!$B$4:$B$35,0),MATCH($DB$101,고양시_재차인원!$D$4:$H$4,0))</f>
        <v>24.960315008491449</v>
      </c>
      <c r="DC113" s="267">
        <f>INDEX($AA$101:$AN$115,MATCH($CW113,$L$101:$L$115,0),MATCH(DC$102,$AA$102:$AN$102,0))/INDEX(고양시_재차인원!$K$4:$O$20,MATCH("경기도",고양시_재차인원!$K$4:$K$20,0),MATCH(DC$102,고양시_재차인원!$K$4:$O$4,0))</f>
        <v>2.5992768032800256E-4</v>
      </c>
      <c r="DD113" s="267">
        <f>INDEX($AA$101:$AN$115,MATCH($CW113,$L$101:$L$115,0),MATCH(DD$102,$AA$102:$AN$102,0))/INDEX(고양시_재차인원!$K$4:$O$20,MATCH("경기도",고양시_재차인원!$K$4:$K$20,0),MATCH(DD$102,고양시_재차인원!$K$4:$O$4,0))</f>
        <v>7.225989513118472E-2</v>
      </c>
      <c r="DE113" s="267">
        <f>INDEX($AA$101:$AN$115,MATCH($CW113,$L$101:$L$115,0),MATCH(DE$102,$AA$102:$AN$102,0))/INDEX(고양시_재차인원!$D$4:$H$35,MATCH("고양시",고양시_재차인원!$B$4:$B$35,0),MATCH($DB$101,고양시_재차인원!$D$4:$H$4,0))</f>
        <v>1.6028099367562016</v>
      </c>
      <c r="DF113" s="267">
        <f>INDEX($AO$101:$BB$115,MATCH($CW113,$L$101:$L$115,0),MATCH(DF$102,$AO$102:$BB$102,0))/INDEX(고양시_재차인원!$D$4:$H$35,MATCH("고양시",고양시_재차인원!$B$4:$B$35,0),MATCH($DF$101,고양시_재차인원!$D$4:$H$4,0))</f>
        <v>1.199991103466125</v>
      </c>
      <c r="DG113" s="267">
        <f>INDEX($AO$101:$BB$115,MATCH($CW113,$L$101:$L$115,0),MATCH(DG$102,$AO$102:$BB$102,0))/INDEX(고양시_재차인원!$K$4:$O$20,MATCH("경기도",고양시_재차인원!$K$4:$K$20,0),MATCH(DG$102,고양시_재차인원!$K$4:$O$4,0))</f>
        <v>1.1521386211072934E-5</v>
      </c>
      <c r="DH113" s="267">
        <f>INDEX($AO$101:$BB$115,MATCH($CW113,$L$101:$L$115,0),MATCH(DH$102,$AO$102:$BB$102,0))/INDEX(고양시_재차인원!$K$4:$O$20,MATCH("경기도",고양시_재차인원!$K$4:$K$20,0),MATCH(DH$102,고양시_재차인원!$K$4:$O$4,0))</f>
        <v>3.2029453666782754E-3</v>
      </c>
      <c r="DI113" s="267">
        <f>INDEX($AO$101:$BB$115,MATCH($CW113,$L$101:$L$115,0),MATCH(DI$102,$AO$102:$BB$102,0))/INDEX(고양시_재차인원!$D$4:$H$35,MATCH("고양시",고양시_재차인원!$B$4:$B$35,0),MATCH($DF$101,고양시_재차인원!$D$4:$H$4,0))</f>
        <v>7.705662624851578E-2</v>
      </c>
      <c r="DJ113" s="267">
        <f>INDEX($BC$101:$BP$115,MATCH($CW113,$L$101:$L$115,0),MATCH(DJ$102,$BC$102:$BP$102,0))/INDEX(고양시_재차인원!$D$4:$H$35,MATCH("고양시",고양시_재차인원!$B$4:$B$35,0),MATCH($DJ$101,고양시_재차인원!$D$4:$H$4,0))</f>
        <v>3.1106449342092829E-3</v>
      </c>
      <c r="DK113" s="267">
        <f>INDEX($BC$101:$BP$115,MATCH($CW113,$L$101:$L$115,0),MATCH(DK$102,$BC$102:$BP$102,0))/INDEX(고양시_재차인원!$K$4:$O$20,MATCH("경기도",고양시_재차인원!$K$4:$K$20,0),MATCH(DK$102,고양시_재차인원!$K$4:$O$4,0))</f>
        <v>3.1244437182570529E-8</v>
      </c>
      <c r="DL113" s="267">
        <f>INDEX($BC$101:$BP$115,MATCH($CW113,$L$101:$L$115,0),MATCH(DL$102,$BC$102:$BP$102,0))/INDEX(고양시_재차인원!$K$4:$O$20,MATCH("경기도",고양시_재차인원!$K$4:$K$20,0),MATCH(DL$102,고양시_재차인원!$K$4:$O$4,0))</f>
        <v>8.6859535367546068E-6</v>
      </c>
      <c r="DM113" s="267">
        <f>INDEX($BC$101:$BP$115,MATCH($CW113,$L$101:$L$115,0),MATCH(DM$102,$BC$102:$BP$102,0))/INDEX(고양시_재차인원!$D$4:$H$35,MATCH("고양시",고양시_재차인원!$B$4:$B$35,0),MATCH($DJ$101,고양시_재차인원!$D$4:$H$4,0))</f>
        <v>1.9974798429326033E-4</v>
      </c>
      <c r="DN113" s="267">
        <f>INDEX($BQ$101:$CD$115,MATCH($CW113,$L$101:$L$115,0),MATCH(DN$102,$BQ$102:$CD$102,0))/INDEX(고양시_재차인원!$D$4:$H$35,MATCH("고양시",고양시_재차인원!$B$4:$B$35,0),MATCH($DN$101,고양시_재차인원!$D$4:$H$4,0))</f>
        <v>9.5129776294866648E-3</v>
      </c>
      <c r="DO113" s="267">
        <f>INDEX($BQ$101:$CD$115,MATCH($CW113,$L$101:$L$115,0),MATCH(DO$102,$BQ$102:$CD$102,0))/INDEX(고양시_재차인원!$K$4:$O$20,MATCH("경기도",고양시_재차인원!$K$4:$K$20,0),MATCH(DO$102,고양시_재차인원!$K$4:$O$4,0))</f>
        <v>8.8525905350617213E-8</v>
      </c>
      <c r="DP113" s="267">
        <f>INDEX($BQ$101:$CD$115,MATCH($CW113,$L$101:$L$115,0),MATCH(DP$102,$BQ$102:$CD$102,0))/INDEX(고양시_재차인원!$K$4:$O$20,MATCH("경기도",고양시_재차인원!$K$4:$K$20,0),MATCH(DP$102,고양시_재차인원!$K$4:$O$4,0))</f>
        <v>2.4610201687471581E-5</v>
      </c>
      <c r="DQ113" s="267">
        <f>INDEX($BQ$101:$CD$115,MATCH($CW113,$L$101:$L$115,0),MATCH(DQ$102,$BQ$102:$CD$102,0))/INDEX(고양시_재차인원!$D$4:$H$35,MATCH("고양시",고양시_재차인원!$B$4:$B$35,0),MATCH($DN$101,고양시_재차인원!$D$4:$H$4,0))</f>
        <v>6.1086949693918186E-4</v>
      </c>
      <c r="DR113" s="270">
        <f t="shared" si="53"/>
        <v>30.213916724470341</v>
      </c>
      <c r="DS113" s="270">
        <f t="shared" si="48"/>
        <v>3.0499517726076229E-4</v>
      </c>
      <c r="DT113" s="270">
        <f t="shared" si="48"/>
        <v>8.4788659278491912E-2</v>
      </c>
      <c r="DU113" s="270">
        <f t="shared" si="48"/>
        <v>1.9401664577482542</v>
      </c>
      <c r="DW113" s="278"/>
      <c r="DX113" s="278" t="s">
        <v>305</v>
      </c>
      <c r="DY113" s="281">
        <f t="shared" si="54"/>
        <v>32.154083182218592</v>
      </c>
      <c r="DZ113" s="281">
        <f t="shared" si="55"/>
        <v>8.5093654455752676E-2</v>
      </c>
      <c r="EB113" s="278"/>
      <c r="EC113" s="278" t="s">
        <v>305</v>
      </c>
      <c r="ED113" s="281">
        <f t="shared" si="56"/>
        <v>32.154083182218592</v>
      </c>
      <c r="EE113" s="281">
        <f t="shared" si="49"/>
        <v>8.5093654455752676E-2</v>
      </c>
      <c r="EL113" s="306" t="s">
        <v>667</v>
      </c>
      <c r="EM113" s="306" t="s">
        <v>221</v>
      </c>
      <c r="EN113" s="306">
        <v>22244.514299999999</v>
      </c>
      <c r="EO113" s="306">
        <v>0.11978017675227419</v>
      </c>
      <c r="EP113" s="307">
        <v>849111</v>
      </c>
      <c r="EQ113" s="308">
        <f t="shared" si="57"/>
        <v>516.82518102871438</v>
      </c>
      <c r="ER113" s="308">
        <f t="shared" si="58"/>
        <v>1.3677436585350897</v>
      </c>
      <c r="ET113" s="420" t="s">
        <v>667</v>
      </c>
      <c r="EU113" s="420" t="s">
        <v>221</v>
      </c>
      <c r="EV113" s="420">
        <v>22244.514299999999</v>
      </c>
      <c r="EW113" s="420">
        <v>0.11978017675227419</v>
      </c>
      <c r="EX113" s="421">
        <v>849111</v>
      </c>
      <c r="EY113" s="422">
        <f t="shared" si="59"/>
        <v>502.09566336939605</v>
      </c>
      <c r="EZ113" s="422">
        <f t="shared" si="60"/>
        <v>1.3287629642668397</v>
      </c>
      <c r="FA113">
        <v>0</v>
      </c>
      <c r="FD113" s="306" t="s">
        <v>667</v>
      </c>
      <c r="FE113" s="306" t="s">
        <v>221</v>
      </c>
      <c r="FF113" s="306">
        <v>22244.514299999999</v>
      </c>
      <c r="FG113" s="306">
        <v>0.11978017675227419</v>
      </c>
      <c r="FH113" s="307">
        <v>849111</v>
      </c>
      <c r="FI113" s="308">
        <f t="shared" si="61"/>
        <v>502.09566336939605</v>
      </c>
      <c r="FJ113" s="308">
        <f t="shared" si="50"/>
        <v>1.3287629642668397</v>
      </c>
      <c r="FL113" s="101"/>
      <c r="FM113" s="101"/>
      <c r="FN113" s="101"/>
      <c r="FO113" s="101"/>
      <c r="FP113" s="374"/>
      <c r="FQ113" s="404"/>
      <c r="FR113" s="404"/>
    </row>
    <row r="114" spans="1:174" ht="25">
      <c r="A114" s="205"/>
      <c r="B114" s="205" t="s">
        <v>47</v>
      </c>
      <c r="C114" s="400">
        <f>$AB72*KTDB_TripDistribution_2040!L$12 * (1+KTDB_발생량도착량_증가율!$C$8*2) * (1+KTDB_발생량도착량_증가율!$D$7*5) * (1+KTDB_발생량도착량_증가율!$E$7*5) * (1+KTDB_발생량도착량_증가율!$F$7*5)</f>
        <v>833.79071127183829</v>
      </c>
      <c r="D114" s="400">
        <f>$AB72*KTDB_TripDistribution_2040!M$12 * (1+KTDB_발생량도착량_증가율!$C$8*2) * (1+KTDB_발생량도착량_증가율!$D$7*5) * (1+KTDB_발생량도착량_증가율!$E$7*5) * (1+KTDB_발생량도착량_증가율!$F$7*5)</f>
        <v>6483.6677602638629</v>
      </c>
      <c r="E114" s="400">
        <f>$AB72*KTDB_TripDistribution_2040!N$12 * (1+KTDB_발생량도착량_증가율!$C$8*2) * (1+KTDB_발생량도착량_증가율!$D$7*5) * (1+KTDB_발생량도착량_증가율!$E$7*5) * (1+KTDB_발생량도착량_증가율!$F$7*5)</f>
        <v>287.39086285853546</v>
      </c>
      <c r="F114" s="400">
        <f>$AB72*KTDB_TripDistribution_2040!O$12 * (1+KTDB_발생량도착량_증가율!$C$8*2) * (1+KTDB_발생량도착량_증가율!$D$7*5) * (1+KTDB_발생량도착량_증가율!$E$7*5) * (1+KTDB_발생량도착량_증가율!$F$7*5)</f>
        <v>0.77936505181975324</v>
      </c>
      <c r="G114" s="400">
        <f>$AB72*KTDB_TripDistribution_2040!P$12 * (1+KTDB_발생량도착량_증가율!$C$8*2) * (1+KTDB_발생량도착량_증가율!$D$7*5) * (1+KTDB_발생량도착량_증가율!$E$7*5) * (1+KTDB_발생량도착량_증가율!$F$7*5)</f>
        <v>2.2082009801559845</v>
      </c>
      <c r="H114" s="400">
        <f>$AB72*KTDB_TripDistribution_2040!Q$12 * (1+KTDB_발생량도착량_증가율!$C$8*2) * (1+KTDB_발생량도착량_증가율!$D$7*5) * (1+KTDB_발생량도착량_증가율!$E$7*5) * (1+KTDB_발생량도착량_증가율!$F$7*5)</f>
        <v>7607.8369004262113</v>
      </c>
      <c r="I114" s="56"/>
      <c r="J114" s="56"/>
      <c r="K114" s="206"/>
      <c r="L114" s="206" t="s">
        <v>47</v>
      </c>
      <c r="M114" s="206">
        <f>INDEX($A$102:$H$115,MATCH($L114,$B$102:$B$115,0),MATCH($M$101,$A$102:$H$102,0))*고양시_Modal_split!C$3 * 0.01</f>
        <v>2.334613991561147</v>
      </c>
      <c r="N114" s="206">
        <f>INDEX($A$102:$H$115,MATCH($L114,$B$102:$B$115,0),MATCH($M$101,$A$102:$H$102,0))*고양시_Modal_split!D$3 * 0.01</f>
        <v>392.13177151114559</v>
      </c>
      <c r="O114" s="206">
        <f>INDEX($A$102:$H$115,MATCH($L114,$B$102:$B$115,0),MATCH($M$101,$A$102:$H$102,0))*고양시_Modal_split!E$3 * 0.01</f>
        <v>47.442691471367596</v>
      </c>
      <c r="P114" s="206">
        <f>INDEX($A$102:$H$115,MATCH($L114,$B$102:$B$115,0),MATCH($M$101,$A$102:$H$102,0))*고양시_Modal_split!F$3 * 0.01</f>
        <v>76.458608223627579</v>
      </c>
      <c r="Q114" s="206">
        <f>INDEX($A$102:$H$115,MATCH($L114,$B$102:$B$115,0),MATCH($M$101,$A$102:$H$102,0))*고양시_Modal_split!G$3 * 0.01</f>
        <v>7.6708745437009123</v>
      </c>
      <c r="R114" s="206">
        <f>INDEX($A$102:$H$115,MATCH($L114,$B$102:$B$115,0),MATCH($M$101,$A$102:$H$102,0))*고양시_Modal_split!H$3 * 0.01</f>
        <v>8.3379071127183832E-2</v>
      </c>
      <c r="S114" s="206">
        <f>INDEX($A$102:$H$115,MATCH($L114,$B$102:$B$115,0),MATCH($M$101,$A$102:$H$102,0))*고양시_Modal_split!I$3 * 0.01</f>
        <v>23.179381773357104</v>
      </c>
      <c r="T114" s="206">
        <f>INDEX($A$102:$H$115,MATCH($L114,$B$102:$B$115,0),MATCH($M$101,$A$102:$H$102,0))*고양시_Modal_split!J$3 * 0.01</f>
        <v>253.80589251114759</v>
      </c>
      <c r="U114" s="206">
        <f>INDEX($A$102:$H$115,MATCH($L114,$B$102:$B$115,0),MATCH($M$101,$A$102:$H$102,0))*고양시_Modal_split!K$3 * 0.01</f>
        <v>1.2506860669077573</v>
      </c>
      <c r="V114" s="206">
        <f>INDEX($A$102:$H$115,MATCH($L114,$B$102:$B$115,0),MATCH($M$101,$A$102:$H$102,0))*고양시_Modal_split!L$3 * 0.01</f>
        <v>25.180479480409517</v>
      </c>
      <c r="W114" s="206">
        <f>INDEX($A$102:$H$115,MATCH($L114,$B$102:$B$115,0),MATCH($M$101,$A$102:$H$102,0))*고양시_Modal_split!M$3 * 0.01</f>
        <v>1.9177186359252281</v>
      </c>
      <c r="X114" s="206">
        <f>INDEX($A$102:$H$115,MATCH($L114,$B$102:$B$115,0),MATCH($M$101,$A$102:$H$102,0))*고양시_Modal_split!N$3 * 0.01</f>
        <v>0.83379071127183835</v>
      </c>
      <c r="Y114" s="206">
        <f>INDEX($A$102:$H$115,MATCH($L114,$B$102:$B$115,0),MATCH($M$101,$A$102:$H$102,0))*고양시_Modal_split!O$3 * 0.01</f>
        <v>1.5008232802893087</v>
      </c>
      <c r="Z114" s="209">
        <f>INDEX($A$102:$H$115,MATCH($L114,$B$102:$B$115,0),MATCH($M$101,$A$102:$H$102,0))*고양시_Modal_split!P$3 * 0.01</f>
        <v>833.79071127183829</v>
      </c>
      <c r="AA114" s="207">
        <f>INDEX($A$102:$H$115,MATCH($L114,$B$102:$B$115,0),MATCH($AA$101,$A$102:$H$102,0))*고양시_Modal_split!C$3 * 0.01</f>
        <v>18.154269728738814</v>
      </c>
      <c r="AB114" s="207">
        <f>INDEX($A$102:$H$115,MATCH($L114,$B$102:$B$115,0),MATCH($AA$101,$A$102:$H$102,0))*고양시_Modal_split!D$3 * 0.01</f>
        <v>3049.2689476520945</v>
      </c>
      <c r="AC114" s="207">
        <f>INDEX($A$102:$H$115,MATCH($L114,$B$102:$B$115,0),MATCH($AA$101,$A$102:$H$102,0))*고양시_Modal_split!E$3 * 0.01</f>
        <v>368.92069555901378</v>
      </c>
      <c r="AD114" s="207">
        <f>INDEX($A$102:$H$115,MATCH($L114,$B$102:$B$115,0),MATCH($AA$101,$A$102:$H$102,0))*고양시_Modal_split!F$3 * 0.01</f>
        <v>594.55233361619617</v>
      </c>
      <c r="AE114" s="207">
        <f>INDEX($A$102:$H$115,MATCH($L114,$B$102:$B$115,0),MATCH($AA$101,$A$102:$H$102,0))*고양시_Modal_split!G$3 * 0.01</f>
        <v>59.649743394427531</v>
      </c>
      <c r="AF114" s="207">
        <f>INDEX($A$102:$H$115,MATCH($L114,$B$102:$B$115,0),MATCH($AA$101,$A$102:$H$102,0))*고양시_Modal_split!H$3 * 0.01</f>
        <v>0.64836677602638637</v>
      </c>
      <c r="AG114" s="207">
        <f>INDEX($A$102:$H$115,MATCH($L114,$B$102:$B$115,0),MATCH($AA$101,$A$102:$H$102,0))*고양시_Modal_split!I$3 * 0.01</f>
        <v>180.24596373533538</v>
      </c>
      <c r="AH114" s="207">
        <f>INDEX($A$102:$H$115,MATCH($L114,$B$102:$B$115,0),MATCH($AA$101,$A$102:$H$102,0))*고양시_Modal_split!J$3 * 0.01</f>
        <v>1973.6284662243199</v>
      </c>
      <c r="AI114" s="207">
        <f>INDEX($A$102:$H$115,MATCH($L114,$B$102:$B$115,0),MATCH($AA$101,$A$102:$H$102,0))*고양시_Modal_split!K$3 * 0.01</f>
        <v>9.7255016403957946</v>
      </c>
      <c r="AJ114" s="207">
        <f>INDEX($A$102:$H$115,MATCH($L114,$B$102:$B$115,0),MATCH($AA$101,$A$102:$H$102,0))*고양시_Modal_split!L$3 * 0.01</f>
        <v>195.80676635996863</v>
      </c>
      <c r="AK114" s="207">
        <f>INDEX($A$102:$H$115,MATCH($L114,$B$102:$B$115,0),MATCH($AA$101,$A$102:$H$102,0))*고양시_Modal_split!M$3 * 0.01</f>
        <v>14.912435848606883</v>
      </c>
      <c r="AL114" s="207">
        <f>INDEX($A$102:$H$115,MATCH($L114,$B$102:$B$115,0),MATCH($AA$101,$A$102:$H$102,0))*고양시_Modal_split!N$3 * 0.01</f>
        <v>6.483667760263863</v>
      </c>
      <c r="AM114" s="207">
        <f>INDEX($A$102:$H$115,MATCH($L114,$B$102:$B$115,0),MATCH($AA$101,$A$102:$H$102,0))*고양시_Modal_split!O$3 * 0.01</f>
        <v>11.670601968474953</v>
      </c>
      <c r="AN114" s="207">
        <f>INDEX($A$102:$H$115,MATCH($L114,$B$102:$B$115,0),MATCH($AA$101,$A$102:$H$102,0))*고양시_Modal_split!P$3 * 0.01</f>
        <v>6483.6677602638629</v>
      </c>
      <c r="AO114" s="303">
        <f>INDEX($A$102:$H$115,MATCH($L114,$B$102:$B$115,0),MATCH($AO$101,$A$102:$H$102,0))*고양시_Modal_split!C$3 * 0.01</f>
        <v>0.80469441600389913</v>
      </c>
      <c r="AP114" s="303">
        <f>INDEX($A$102:$H$115,MATCH($L114,$B$102:$B$115,0),MATCH($AO$101,$A$102:$H$102,0))*고양시_Modal_split!D$3 * 0.01</f>
        <v>135.15992280236921</v>
      </c>
      <c r="AQ114" s="303">
        <f>INDEX($A$102:$H$115,MATCH($L114,$B$102:$B$115,0),MATCH($AO$101,$A$102:$H$102,0))*고양시_Modal_split!E$3 * 0.01</f>
        <v>16.352540096650667</v>
      </c>
      <c r="AR114" s="303">
        <f>INDEX($A$102:$H$115,MATCH($L114,$B$102:$B$115,0),MATCH($AO$101,$A$102:$H$102,0))*고양시_Modal_split!F$3 * 0.01</f>
        <v>26.353742124127702</v>
      </c>
      <c r="AS114" s="303">
        <f>INDEX($A$102:$H$115,MATCH($L114,$B$102:$B$115,0),MATCH($AO$101,$A$102:$H$102,0))*고양시_Modal_split!G$3 * 0.01</f>
        <v>2.6439959382985263</v>
      </c>
      <c r="AT114" s="303">
        <f>INDEX($A$102:$H$115,MATCH($L114,$B$102:$B$115,0),MATCH($AO$101,$A$102:$H$102,0))*고양시_Modal_split!H$3 * 0.01</f>
        <v>2.8739086285853546E-2</v>
      </c>
      <c r="AU114" s="303">
        <f>INDEX($A$102:$H$115,MATCH($L114,$B$102:$B$115,0),MATCH($AO$101,$A$102:$H$102,0))*고양시_Modal_split!I$3 * 0.01</f>
        <v>7.9894659874672858</v>
      </c>
      <c r="AV114" s="303">
        <f>INDEX($A$102:$H$115,MATCH($L114,$B$102:$B$115,0),MATCH($AO$101,$A$102:$H$102,0))*고양시_Modal_split!J$3 * 0.01</f>
        <v>87.481778654138196</v>
      </c>
      <c r="AW114" s="303">
        <f>INDEX($A$102:$H$115,MATCH($L114,$B$102:$B$115,0),MATCH($AO$101,$A$102:$H$102,0))*고양시_Modal_split!K$3 * 0.01</f>
        <v>0.43108629428780321</v>
      </c>
      <c r="AX114" s="303">
        <f>INDEX($A$102:$H$115,MATCH($L114,$B$102:$B$115,0),MATCH($AO$101,$A$102:$H$102,0))*고양시_Modal_split!L$3 * 0.01</f>
        <v>8.6792040583277714</v>
      </c>
      <c r="AY114" s="303">
        <f>INDEX($A$102:$H$115,MATCH($L114,$B$102:$B$115,0),MATCH($AO$101,$A$102:$H$102,0))*고양시_Modal_split!M$3 * 0.01</f>
        <v>0.66099898457463158</v>
      </c>
      <c r="AZ114" s="303">
        <f>INDEX($A$102:$H$115,MATCH($L114,$B$102:$B$115,0),MATCH($AO$101,$A$102:$H$102,0))*고양시_Modal_split!N$3 * 0.01</f>
        <v>0.28739086285853549</v>
      </c>
      <c r="BA114" s="207">
        <f>INDEX($A$102:$H$115,MATCH($L114,$B$102:$B$115,0),MATCH($AO$101,$A$102:$H$102,0))*고양시_Modal_split!O$3 * 0.01</f>
        <v>0.5173035531453638</v>
      </c>
      <c r="BB114" s="207">
        <f>INDEX($A$102:$H$115,MATCH($L114,$B$102:$B$115,0),MATCH($AO$101,$A$102:$H$102,0))*고양시_Modal_split!P$3 * 0.01</f>
        <v>287.39086285853546</v>
      </c>
      <c r="BC114" s="207">
        <f>INDEX($A$102:$H$115,MATCH($L114,$B$102:$B$115,0),MATCH($BC$101,$A$102:$H$102,0))*고양시_Modal_split!C$3 * 0.01</f>
        <v>2.1822221450953088E-3</v>
      </c>
      <c r="BD114" s="207">
        <f>INDEX($A$102:$H$115,MATCH($L114,$B$102:$B$115,0),MATCH($BC$101,$A$102:$H$102,0))*고양시_Modal_split!D$3 * 0.01</f>
        <v>0.36653538387082996</v>
      </c>
      <c r="BE114" s="207">
        <f>INDEX($A$102:$H$115,MATCH($L114,$B$102:$B$115,0),MATCH($BC$101,$A$102:$H$102,0))*고양시_Modal_split!E$3 * 0.01</f>
        <v>4.4345871448543954E-2</v>
      </c>
      <c r="BF114" s="207">
        <f>INDEX($A$102:$H$115,MATCH($L114,$B$102:$B$115,0),MATCH($BC$101,$A$102:$H$102,0))*고양시_Modal_split!F$3 * 0.01</f>
        <v>7.1467775251871382E-2</v>
      </c>
      <c r="BG114" s="207">
        <f>INDEX($A$102:$H$115,MATCH($L114,$B$102:$B$115,0),MATCH($BC$101,$A$102:$H$102,0))*고양시_Modal_split!G$3 * 0.01</f>
        <v>7.1701584767417297E-3</v>
      </c>
      <c r="BH114" s="207">
        <f>INDEX($A$102:$H$115,MATCH($L114,$B$102:$B$115,0),MATCH($BC$101,$A$102:$H$102,0))*고양시_Modal_split!H$3 * 0.01</f>
        <v>7.7936505181975334E-5</v>
      </c>
      <c r="BI114" s="207">
        <f>INDEX($A$102:$H$115,MATCH($L114,$B$102:$B$115,0),MATCH($BC$101,$A$102:$H$102,0))*고양시_Modal_split!I$3 * 0.01</f>
        <v>2.166634844058914E-2</v>
      </c>
      <c r="BJ114" s="207">
        <f>INDEX($A$102:$H$115,MATCH($L114,$B$102:$B$115,0),MATCH($BC$101,$A$102:$H$102,0))*고양시_Modal_split!J$3 * 0.01</f>
        <v>0.2372387217739329</v>
      </c>
      <c r="BK114" s="207">
        <f>INDEX($A$102:$H$115,MATCH($L114,$B$102:$B$115,0),MATCH($BC$101,$A$102:$H$102,0))*고양시_Modal_split!K$3 * 0.01</f>
        <v>1.1690475777296299E-3</v>
      </c>
      <c r="BL114" s="207">
        <f>INDEX($A$102:$H$115,MATCH($L114,$B$102:$B$115,0),MATCH($BC$101,$A$102:$H$102,0))*고양시_Modal_split!L$3 * 0.01</f>
        <v>2.3536824564956548E-2</v>
      </c>
      <c r="BM114" s="207">
        <f>INDEX($A$102:$H$115,MATCH($L114,$B$102:$B$115,0),MATCH($BC$101,$A$102:$H$102,0))*고양시_Modal_split!M$3 * 0.01</f>
        <v>1.7925396191854324E-3</v>
      </c>
      <c r="BN114" s="207">
        <f>INDEX($A$102:$H$115,MATCH($L114,$B$102:$B$115,0),MATCH($BC$101,$A$102:$H$102,0))*고양시_Modal_split!N$3 * 0.01</f>
        <v>7.7936505181975331E-4</v>
      </c>
      <c r="BO114" s="207">
        <f>INDEX($A$102:$H$115,MATCH($L114,$B$102:$B$115,0),MATCH($BC$101,$A$102:$H$102,0))*고양시_Modal_split!O$3 * 0.01</f>
        <v>1.4028570932755559E-3</v>
      </c>
      <c r="BP114" s="207">
        <f>INDEX($A$102:$H$115,MATCH($L114,$B$102:$B$115,0),MATCH($BC$101,$A$102:$H$102,0))*고양시_Modal_split!P$3 * 0.01</f>
        <v>0.77936505181975324</v>
      </c>
      <c r="BQ114" s="207">
        <f>INDEX($A$102:$H$115,MATCH($L114,$B$102:$B$115,0),MATCH($BQ$101,$A$102:$H$102,0))*고양시_Modal_split!C$3 * 0.01</f>
        <v>6.1829627444367563E-3</v>
      </c>
      <c r="BR114" s="207">
        <f>INDEX($A$102:$H$115,MATCH($L114,$B$102:$B$115,0),MATCH($BQ$101,$A$102:$H$102,0))*고양시_Modal_split!D$3 * 0.01</f>
        <v>1.0385169209673597</v>
      </c>
      <c r="BS114" s="207">
        <f>INDEX($A$102:$H$115,MATCH($L114,$B$102:$B$115,0),MATCH($BQ$101,$A$102:$H$102,0))*고양시_Modal_split!E$3 * 0.01</f>
        <v>0.12564663577087551</v>
      </c>
      <c r="BT114" s="207">
        <f>INDEX($A$102:$H$115,MATCH($L114,$B$102:$B$115,0),MATCH($BQ$101,$A$102:$H$102,0))*고양시_Modal_split!F$3 * 0.01</f>
        <v>0.20249202988030379</v>
      </c>
      <c r="BU114" s="207">
        <f>INDEX($A$102:$H$115,MATCH($L114,$B$102:$B$115,0),MATCH($BQ$101,$A$102:$H$102,0))*고양시_Modal_split!G$3 * 0.01</f>
        <v>2.0315449017435056E-2</v>
      </c>
      <c r="BV114" s="207">
        <f>INDEX($A$102:$H$115,MATCH($L114,$B$102:$B$115,0),MATCH($BQ$101,$A$102:$H$102,0))*고양시_Modal_split!H$3 * 0.01</f>
        <v>2.2082009801559848E-4</v>
      </c>
      <c r="BW114" s="207">
        <f>INDEX($A$102:$H$115,MATCH($L114,$B$102:$B$115,0),MATCH($BQ$101,$A$102:$H$102,0))*고양시_Modal_split!I$3 * 0.01</f>
        <v>6.1387987248336363E-2</v>
      </c>
      <c r="BX114" s="207">
        <f>INDEX($A$102:$H$115,MATCH($L114,$B$102:$B$115,0),MATCH($BQ$101,$A$102:$H$102,0))*고양시_Modal_split!J$3 * 0.01</f>
        <v>0.67217637835948174</v>
      </c>
      <c r="BY114" s="207">
        <f>INDEX($A$102:$H$115,MATCH($L114,$B$102:$B$115,0),MATCH($BQ$101,$A$102:$H$102,0))*고양시_Modal_split!K$3 * 0.01</f>
        <v>3.3123014702339765E-3</v>
      </c>
      <c r="BZ114" s="207">
        <f>INDEX($A$102:$H$115,MATCH($L114,$B$102:$B$115,0),MATCH($BQ$101,$A$102:$H$102,0))*고양시_Modal_split!L$3 * 0.01</f>
        <v>6.6687669600710736E-2</v>
      </c>
      <c r="CA114" s="207">
        <f>INDEX($A$102:$H$115,MATCH($L114,$B$102:$B$115,0),MATCH($BQ$101,$A$102:$H$102,0))*고양시_Modal_split!M$3 * 0.01</f>
        <v>5.078862254358764E-3</v>
      </c>
      <c r="CB114" s="207">
        <f>INDEX($A$102:$H$115,MATCH($L114,$B$102:$B$115,0),MATCH($BQ$101,$A$102:$H$102,0))*고양시_Modal_split!N$3 * 0.01</f>
        <v>2.2082009801559846E-3</v>
      </c>
      <c r="CC114" s="207">
        <f>INDEX($A$102:$H$115,MATCH($L114,$B$102:$B$115,0),MATCH($BQ$101,$A$102:$H$102,0))*고양시_Modal_split!O$3 * 0.01</f>
        <v>3.9747617642807717E-3</v>
      </c>
      <c r="CD114" s="207">
        <f>INDEX($A$102:$H$115,MATCH($L114,$B$102:$B$115,0),MATCH($BQ$101,$A$102:$H$102,0))*고양시_Modal_split!P$3 * 0.01</f>
        <v>2.2082009801559845</v>
      </c>
      <c r="CE114" s="304">
        <f t="shared" si="51"/>
        <v>21.301943321193388</v>
      </c>
      <c r="CF114" s="304">
        <f t="shared" si="47"/>
        <v>3577.9656942704473</v>
      </c>
      <c r="CG114" s="304">
        <f t="shared" si="47"/>
        <v>432.88591963425148</v>
      </c>
      <c r="CH114" s="304">
        <f t="shared" si="47"/>
        <v>697.63864376908373</v>
      </c>
      <c r="CI114" s="304">
        <f t="shared" si="47"/>
        <v>69.992099483921152</v>
      </c>
      <c r="CJ114" s="304">
        <f t="shared" si="47"/>
        <v>0.76078369004262125</v>
      </c>
      <c r="CK114" s="304">
        <f t="shared" si="47"/>
        <v>211.49786583184871</v>
      </c>
      <c r="CL114" s="304">
        <f t="shared" si="47"/>
        <v>2315.8255524897386</v>
      </c>
      <c r="CM114" s="304">
        <f t="shared" si="47"/>
        <v>11.41175535063932</v>
      </c>
      <c r="CN114" s="304">
        <f t="shared" si="47"/>
        <v>229.75667439287156</v>
      </c>
      <c r="CO114" s="304">
        <f t="shared" si="47"/>
        <v>17.498024870980288</v>
      </c>
      <c r="CP114" s="304">
        <f t="shared" si="47"/>
        <v>7.6078369004262116</v>
      </c>
      <c r="CQ114" s="304">
        <f t="shared" si="47"/>
        <v>13.694106420767183</v>
      </c>
      <c r="CR114" s="304">
        <f t="shared" si="47"/>
        <v>7607.8369004262131</v>
      </c>
      <c r="CS114" s="305">
        <f t="shared" si="52"/>
        <v>0</v>
      </c>
      <c r="CV114" s="267"/>
      <c r="CW114" s="267" t="s">
        <v>47</v>
      </c>
      <c r="CX114" s="267">
        <f>INDEX($M$101:$Z$115,MATCH($CW114,$L$101:$L$115,0),MATCH(CX$102,$M$102:$Z$102,0))/INDEX(고양시_재차인원!$D$4:$H$35,MATCH("고양시",고양시_재차인원!$B$4:$B$35,0),MATCH($CX$101,고양시_재차인원!$D$4:$H$4,0))</f>
        <v>350.11765313495141</v>
      </c>
      <c r="CY114" s="267">
        <f>INDEX($M$101:$Z$115,MATCH($CW114,$L$101:$L$115,0),MATCH(CY$102,$M$102:$Z$102,0))/INDEX(고양시_재차인원!$K$4:$O$20,MATCH("경기도",고양시_재차인원!$K$4:$K$20,0),MATCH(CY$102,고양시_재차인원!$K$4:$O$4,0))</f>
        <v>2.8961122308851627E-3</v>
      </c>
      <c r="CZ114" s="267">
        <f>INDEX($M$101:$Z$115,MATCH($CW114,$L$101:$L$115,0),MATCH(CZ$102,$M$102:$Z$102,0))/INDEX(고양시_재차인원!$K$4:$O$20,MATCH("경기도",고양시_재차인원!$K$4:$K$20,0),MATCH(CZ$102,고양시_재차인원!$K$4:$O$4,0))</f>
        <v>0.80511920018607519</v>
      </c>
      <c r="DA114" s="267">
        <f>INDEX($M$101:$Z$115,MATCH($CW114,$L$101:$L$115,0),MATCH(DA$102,$M$102:$Z$102,0))/INDEX(고양시_재차인원!$D$4:$H$35,MATCH("고양시",고양시_재차인원!$B$4:$B$35,0),MATCH($CX$101,고양시_재차인원!$D$4:$H$4,0))</f>
        <v>22.482570964651352</v>
      </c>
      <c r="DB114" s="267">
        <f>INDEX($AA$101:$AN$115,MATCH($CW114,$L$101:$L$115,0),MATCH(DB$102,$AA$102:$AN$102,0))/INDEX(고양시_재차인원!$D$4:$H$35,MATCH("고양시",고양시_재차인원!$B$4:$B$35,0),MATCH($DB$101,고양시_재차인원!$D$4:$H$4,0))</f>
        <v>2162.6020905334003</v>
      </c>
      <c r="DC114" s="267">
        <f>INDEX($AA$101:$AN$115,MATCH($CW114,$L$101:$L$115,0),MATCH(DC$102,$AA$102:$AN$102,0))/INDEX(고양시_재차인원!$K$4:$O$20,MATCH("경기도",고양시_재차인원!$K$4:$K$20,0),MATCH(DC$102,고양시_재차인원!$K$4:$O$4,0))</f>
        <v>2.2520554915817521E-2</v>
      </c>
      <c r="DD114" s="267">
        <f>INDEX($AA$101:$AN$115,MATCH($CW114,$L$101:$L$115,0),MATCH(DD$102,$AA$102:$AN$102,0))/INDEX(고양시_재차인원!$K$4:$O$20,MATCH("경기도",고양시_재차인원!$K$4:$K$20,0),MATCH(DD$102,고양시_재차인원!$K$4:$O$4,0))</f>
        <v>6.2607142665972697</v>
      </c>
      <c r="DE114" s="267">
        <f>INDEX($AA$101:$AN$115,MATCH($CW114,$L$101:$L$115,0),MATCH(DE$102,$AA$102:$AN$102,0))/INDEX(고양시_재차인원!$D$4:$H$35,MATCH("고양시",고양시_재차인원!$B$4:$B$35,0),MATCH($DB$101,고양시_재차인원!$D$4:$H$4,0))</f>
        <v>138.87004706380756</v>
      </c>
      <c r="DF114" s="267">
        <f>INDEX($AO$101:$BB$115,MATCH($CW114,$L$101:$L$115,0),MATCH(DF$102,$AO$102:$BB$102,0))/INDEX(고양시_재차인원!$D$4:$H$35,MATCH("고양시",고양시_재차인원!$B$4:$B$35,0),MATCH($DF$101,고양시_재차인원!$D$4:$H$4,0))</f>
        <v>103.96917138643785</v>
      </c>
      <c r="DG114" s="267">
        <f>INDEX($AO$101:$BB$115,MATCH($CW114,$L$101:$L$115,0),MATCH(DG$102,$AO$102:$BB$102,0))/INDEX(고양시_재차인원!$K$4:$O$20,MATCH("경기도",고양시_재차인원!$K$4:$K$20,0),MATCH(DG$102,고양시_재차인원!$K$4:$O$4,0))</f>
        <v>9.9823154865764322E-4</v>
      </c>
      <c r="DH114" s="267">
        <f>INDEX($AO$101:$BB$115,MATCH($CW114,$L$101:$L$115,0),MATCH(DH$102,$AO$102:$BB$102,0))/INDEX(고양시_재차인원!$K$4:$O$20,MATCH("경기도",고양시_재차인원!$K$4:$K$20,0),MATCH(DH$102,고양시_재차인원!$K$4:$O$4,0))</f>
        <v>0.27750837052682481</v>
      </c>
      <c r="DI114" s="267">
        <f>INDEX($AO$101:$BB$115,MATCH($CW114,$L$101:$L$115,0),MATCH(DI$102,$AO$102:$BB$102,0))/INDEX(고양시_재차인원!$D$4:$H$35,MATCH("고양시",고양시_재차인원!$B$4:$B$35,0),MATCH($DF$101,고양시_재차인원!$D$4:$H$4,0))</f>
        <v>6.6763108140982856</v>
      </c>
      <c r="DJ114" s="267">
        <f>INDEX($BC$101:$BP$115,MATCH($CW114,$L$101:$L$115,0),MATCH(DJ$102,$BC$102:$BP$102,0))/INDEX(고양시_재차인원!$D$4:$H$35,MATCH("고양시",고양시_재차인원!$B$4:$B$35,0),MATCH($DJ$101,고양시_재차인원!$D$4:$H$4,0))</f>
        <v>0.26951131166972792</v>
      </c>
      <c r="DK114" s="267">
        <f>INDEX($BC$101:$BP$115,MATCH($CW114,$L$101:$L$115,0),MATCH(DK$102,$BC$102:$BP$102,0))/INDEX(고양시_재차인원!$K$4:$O$20,MATCH("경기도",고양시_재차인원!$K$4:$K$20,0),MATCH(DK$102,고양시_재차인원!$K$4:$O$4,0))</f>
        <v>2.7070686065291886E-6</v>
      </c>
      <c r="DL114" s="267">
        <f>INDEX($BC$101:$BP$115,MATCH($CW114,$L$101:$L$115,0),MATCH(DL$102,$BC$102:$BP$102,0))/INDEX(고양시_재차인원!$K$4:$O$20,MATCH("경기도",고양시_재차인원!$K$4:$K$20,0),MATCH(DL$102,고양시_재차인원!$K$4:$O$4,0))</f>
        <v>7.525650726151143E-4</v>
      </c>
      <c r="DM114" s="267">
        <f>INDEX($BC$101:$BP$115,MATCH($CW114,$L$101:$L$115,0),MATCH(DM$102,$BC$102:$BP$102,0))/INDEX(고양시_재차인원!$D$4:$H$35,MATCH("고양시",고양시_재차인원!$B$4:$B$35,0),MATCH($DJ$101,고양시_재차인원!$D$4:$H$4,0))</f>
        <v>1.7306488650703344E-2</v>
      </c>
      <c r="DN114" s="267">
        <f>INDEX($BQ$101:$CD$115,MATCH($CW114,$L$101:$L$115,0),MATCH(DN$102,$BQ$102:$CD$102,0))/INDEX(고양시_재차인원!$D$4:$H$35,MATCH("고양시",고양시_재차인원!$B$4:$B$35,0),MATCH($DN$101,고양시_재차인원!$D$4:$H$4,0))</f>
        <v>0.82421977854552353</v>
      </c>
      <c r="DO114" s="267">
        <f>INDEX($BQ$101:$CD$115,MATCH($CW114,$L$101:$L$115,0),MATCH(DO$102,$BQ$102:$CD$102,0))/INDEX(고양시_재차인원!$K$4:$O$20,MATCH("경기도",고양시_재차인원!$K$4:$K$20,0),MATCH(DO$102,고양시_재차인원!$K$4:$O$4,0))</f>
        <v>7.6700277184994261E-6</v>
      </c>
      <c r="DP114" s="267">
        <f>INDEX($BQ$101:$CD$115,MATCH($CW114,$L$101:$L$115,0),MATCH(DP$102,$BQ$102:$CD$102,0))/INDEX(고양시_재차인원!$K$4:$O$20,MATCH("경기도",고양시_재차인원!$K$4:$K$20,0),MATCH(DP$102,고양시_재차인원!$K$4:$O$4,0))</f>
        <v>2.1322677057428402E-3</v>
      </c>
      <c r="DQ114" s="267">
        <f>INDEX($BQ$101:$CD$115,MATCH($CW114,$L$101:$L$115,0),MATCH(DQ$102,$BQ$102:$CD$102,0))/INDEX(고양시_재차인원!$D$4:$H$35,MATCH("고양시",고양시_재차인원!$B$4:$B$35,0),MATCH($DN$101,고양시_재차인원!$D$4:$H$4,0))</f>
        <v>5.2926721905325984E-2</v>
      </c>
      <c r="DR114" s="270">
        <f t="shared" si="53"/>
        <v>2617.7826461450049</v>
      </c>
      <c r="DS114" s="270">
        <f t="shared" si="48"/>
        <v>2.6425275791685351E-2</v>
      </c>
      <c r="DT114" s="270">
        <f t="shared" si="48"/>
        <v>7.3462266700885266</v>
      </c>
      <c r="DU114" s="270">
        <f t="shared" si="48"/>
        <v>168.09916205311322</v>
      </c>
      <c r="DW114" s="278"/>
      <c r="DX114" s="278" t="s">
        <v>47</v>
      </c>
      <c r="DY114" s="281">
        <f t="shared" si="54"/>
        <v>2785.8818081981181</v>
      </c>
      <c r="DZ114" s="281">
        <f t="shared" si="55"/>
        <v>7.3726519458802118</v>
      </c>
      <c r="EB114" s="278"/>
      <c r="EC114" s="278" t="s">
        <v>47</v>
      </c>
      <c r="ED114" s="281">
        <f t="shared" si="56"/>
        <v>2785.8818081981181</v>
      </c>
      <c r="EE114" s="281">
        <f t="shared" si="49"/>
        <v>7.3726519458802118</v>
      </c>
      <c r="EL114" s="306" t="s">
        <v>667</v>
      </c>
      <c r="EM114" s="306" t="s">
        <v>372</v>
      </c>
      <c r="EN114" s="306">
        <v>20007.53</v>
      </c>
      <c r="EO114" s="306">
        <v>0.10773467325274116</v>
      </c>
      <c r="EP114" s="307">
        <v>849112</v>
      </c>
      <c r="EQ114" s="308">
        <f t="shared" si="57"/>
        <v>464.85147640141707</v>
      </c>
      <c r="ER114" s="308">
        <f t="shared" si="58"/>
        <v>1.2301986868038994</v>
      </c>
      <c r="ET114" s="420" t="s">
        <v>667</v>
      </c>
      <c r="EU114" s="420" t="s">
        <v>372</v>
      </c>
      <c r="EV114" s="420">
        <v>20007.53</v>
      </c>
      <c r="EW114" s="420">
        <v>0.10773467325274116</v>
      </c>
      <c r="EX114" s="421">
        <v>849112</v>
      </c>
      <c r="EY114" s="422">
        <f t="shared" si="59"/>
        <v>451.60320932397673</v>
      </c>
      <c r="EZ114" s="422">
        <f t="shared" si="60"/>
        <v>1.1951380242299883</v>
      </c>
      <c r="FA114">
        <v>0</v>
      </c>
      <c r="FD114" s="306" t="s">
        <v>667</v>
      </c>
      <c r="FE114" s="306" t="s">
        <v>372</v>
      </c>
      <c r="FF114" s="306">
        <v>20007.53</v>
      </c>
      <c r="FG114" s="306">
        <v>0.10773467325274116</v>
      </c>
      <c r="FH114" s="307">
        <v>849112</v>
      </c>
      <c r="FI114" s="308">
        <f t="shared" si="61"/>
        <v>451.60320932397673</v>
      </c>
      <c r="FJ114" s="308">
        <f t="shared" si="50"/>
        <v>1.1951380242299883</v>
      </c>
      <c r="FL114" s="101"/>
      <c r="FM114" s="101"/>
      <c r="FN114" s="101"/>
      <c r="FO114" s="101"/>
      <c r="FP114" s="374"/>
      <c r="FQ114" s="404"/>
      <c r="FR114" s="404"/>
    </row>
    <row r="115" spans="1:174">
      <c r="A115" s="205"/>
      <c r="B115" s="205" t="s">
        <v>676</v>
      </c>
      <c r="C115" s="400">
        <f>$AB73*KTDB_TripDistribution_2040!L$12 * (1+KTDB_발생량도착량_증가율!$C$8*2) * (1+KTDB_발생량도착량_증가율!$D$7*5) * (1+KTDB_발생량도착량_증가율!$E$7*5) * (1+KTDB_발생량도착량_증가율!$F$7*5)</f>
        <v>5342.2905016428595</v>
      </c>
      <c r="D115" s="400">
        <f>$AB73*KTDB_TripDistribution_2040!M$12 * (1+KTDB_발생량도착량_증가율!$C$8*2) * (1+KTDB_발생량도착량_증가율!$D$7*5) * (1+KTDB_발생량도착량_증가율!$E$7*5) * (1+KTDB_발생량도착량_증가율!$F$7*5)</f>
        <v>41542.363357143295</v>
      </c>
      <c r="E115" s="400">
        <f>$AB73*KTDB_TripDistribution_2040!N$12 * (1+KTDB_발생량도착량_증가율!$C$8*2) * (1+KTDB_발생량도착량_증가율!$D$7*5) * (1+KTDB_발생량도착량_증가율!$E$7*5) * (1+KTDB_발생량도착량_증가율!$F$7*5)</f>
        <v>1841.3799244251134</v>
      </c>
      <c r="F115" s="400">
        <f>$AB73*KTDB_TripDistribution_2040!O$12 * (1+KTDB_발생량도착량_증가율!$C$8*2) * (1+KTDB_발생량도착량_증가율!$D$7*5) * (1+KTDB_발생량도착량_증가율!$E$7*5) * (1+KTDB_발생량도착량_증가율!$F$7*5)</f>
        <v>4.9935726764070623</v>
      </c>
      <c r="G115" s="400">
        <f>$AB73*KTDB_TripDistribution_2040!P$12 * (1+KTDB_발생량도착량_증가율!$C$8*2) * (1+KTDB_발생량도착량_증가율!$D$7*5) * (1+KTDB_발생량도착량_증가율!$E$7*5) * (1+KTDB_발생량도착량_증가율!$F$7*5)</f>
        <v>14.148455916486789</v>
      </c>
      <c r="H115" s="400">
        <f>$AB73*KTDB_TripDistribution_2040!Q$12 * (1+KTDB_발생량도착량_증가율!$C$8*2) * (1+KTDB_발생량도착량_증가율!$D$7*5) * (1+KTDB_발생량도착량_증가율!$E$7*5) * (1+KTDB_발생량도착량_증가율!$F$7*5)</f>
        <v>48745.175811804154</v>
      </c>
      <c r="I115" t="b">
        <f>H115=$AB$73 * (1+KTDB_발생량도착량_증가율!$C$8*2)</f>
        <v>0</v>
      </c>
      <c r="J115" s="230">
        <f>CR115</f>
        <v>48745.175811804169</v>
      </c>
      <c r="K115" s="206"/>
      <c r="L115" s="206" t="s">
        <v>26</v>
      </c>
      <c r="M115" s="206">
        <f>INDEX($A$102:$H$115,MATCH($L115,$B$102:$B$115,0),MATCH($M$101,$A$102:$H$102,0))*고양시_Modal_split!C$3 * 0.01</f>
        <v>14.958413404600005</v>
      </c>
      <c r="N115" s="206">
        <f>INDEX($A$102:$H$115,MATCH($L115,$B$102:$B$115,0),MATCH($M$101,$A$102:$H$102,0))*고양시_Modal_split!D$3 * 0.01</f>
        <v>2512.4792229226368</v>
      </c>
      <c r="O115" s="206">
        <f>INDEX($A$102:$H$115,MATCH($L115,$B$102:$B$115,0),MATCH($M$101,$A$102:$H$102,0))*고양시_Modal_split!E$3 * 0.01</f>
        <v>303.9763295434787</v>
      </c>
      <c r="P115" s="206">
        <f>INDEX($A$102:$H$115,MATCH($L115,$B$102:$B$115,0),MATCH($M$101,$A$102:$H$102,0))*고양시_Modal_split!F$3 * 0.01</f>
        <v>489.88803900065022</v>
      </c>
      <c r="Q115" s="206">
        <f>INDEX($A$102:$H$115,MATCH($L115,$B$102:$B$115,0),MATCH($M$101,$A$102:$H$102,0))*고양시_Modal_split!G$3 * 0.01</f>
        <v>49.149072615114299</v>
      </c>
      <c r="R115" s="206">
        <f>INDEX($A$102:$H$115,MATCH($L115,$B$102:$B$115,0),MATCH($M$101,$A$102:$H$102,0))*고양시_Modal_split!H$3 * 0.01</f>
        <v>0.5342290501642859</v>
      </c>
      <c r="S115" s="206">
        <f>INDEX($A$102:$H$115,MATCH($L115,$B$102:$B$115,0),MATCH($M$101,$A$102:$H$102,0))*고양시_Modal_split!I$3 * 0.01</f>
        <v>148.51567594567149</v>
      </c>
      <c r="T115" s="206">
        <f>INDEX($A$102:$H$115,MATCH($L115,$B$102:$B$115,0),MATCH($M$101,$A$102:$H$102,0))*고양시_Modal_split!J$3 * 0.01</f>
        <v>1626.1932287000866</v>
      </c>
      <c r="U115" s="206">
        <f>INDEX($A$102:$H$115,MATCH($L115,$B$102:$B$115,0),MATCH($M$101,$A$102:$H$102,0))*고양시_Modal_split!K$3 * 0.01</f>
        <v>8.0134357524642894</v>
      </c>
      <c r="V115" s="206">
        <f>INDEX($A$102:$H$115,MATCH($L115,$B$102:$B$115,0),MATCH($M$101,$A$102:$H$102,0))*고양시_Modal_split!L$3 * 0.01</f>
        <v>161.33717314961436</v>
      </c>
      <c r="W115" s="206">
        <f>INDEX($A$102:$H$115,MATCH($L115,$B$102:$B$115,0),MATCH($M$101,$A$102:$H$102,0))*고양시_Modal_split!M$3 * 0.01</f>
        <v>12.287268153778575</v>
      </c>
      <c r="X115" s="206">
        <f>INDEX($A$102:$H$115,MATCH($L115,$B$102:$B$115,0),MATCH($M$101,$A$102:$H$102,0))*고양시_Modal_split!N$3 * 0.01</f>
        <v>5.342290501642859</v>
      </c>
      <c r="Y115" s="206">
        <f>INDEX($A$102:$H$115,MATCH($L115,$B$102:$B$115,0),MATCH($M$101,$A$102:$H$102,0))*고양시_Modal_split!O$3 * 0.01</f>
        <v>9.6161229029571462</v>
      </c>
      <c r="Z115" s="209">
        <f>INDEX($A$102:$H$115,MATCH($L115,$B$102:$B$115,0),MATCH($M$101,$A$102:$H$102,0))*고양시_Modal_split!P$3 * 0.01</f>
        <v>5342.2905016428595</v>
      </c>
      <c r="AA115" s="207">
        <f>INDEX($A$102:$H$115,MATCH($L115,$B$102:$B$115,0),MATCH($AA$101,$A$102:$H$102,0))*고양시_Modal_split!C$3 * 0.01</f>
        <v>116.31861740000123</v>
      </c>
      <c r="AB115" s="207">
        <f>INDEX($A$102:$H$115,MATCH($L115,$B$102:$B$115,0),MATCH($AA$101,$A$102:$H$102,0))*고양시_Modal_split!D$3 * 0.01</f>
        <v>19537.373486864493</v>
      </c>
      <c r="AC115" s="207">
        <f>INDEX($A$102:$H$115,MATCH($L115,$B$102:$B$115,0),MATCH($AA$101,$A$102:$H$102,0))*고양시_Modal_split!E$3 * 0.01</f>
        <v>2363.7604750214532</v>
      </c>
      <c r="AD115" s="207">
        <f>INDEX($A$102:$H$115,MATCH($L115,$B$102:$B$115,0),MATCH($AA$101,$A$102:$H$102,0))*고양시_Modal_split!F$3 * 0.01</f>
        <v>3809.4347198500404</v>
      </c>
      <c r="AE115" s="207">
        <f>INDEX($A$102:$H$115,MATCH($L115,$B$102:$B$115,0),MATCH($AA$101,$A$102:$H$102,0))*고양시_Modal_split!G$3 * 0.01</f>
        <v>382.18974288571832</v>
      </c>
      <c r="AF115" s="207">
        <f>INDEX($A$102:$H$115,MATCH($L115,$B$102:$B$115,0),MATCH($AA$101,$A$102:$H$102,0))*고양시_Modal_split!H$3 * 0.01</f>
        <v>4.1542363357143293</v>
      </c>
      <c r="AG115" s="207">
        <f>INDEX($A$102:$H$115,MATCH($L115,$B$102:$B$115,0),MATCH($AA$101,$A$102:$H$102,0))*고양시_Modal_split!I$3 * 0.01</f>
        <v>1154.8777013285835</v>
      </c>
      <c r="AH115" s="207">
        <f>INDEX($A$102:$H$115,MATCH($L115,$B$102:$B$115,0),MATCH($AA$101,$A$102:$H$102,0))*고양시_Modal_split!J$3 * 0.01</f>
        <v>12645.49540591442</v>
      </c>
      <c r="AI115" s="207">
        <f>INDEX($A$102:$H$115,MATCH($L115,$B$102:$B$115,0),MATCH($AA$101,$A$102:$H$102,0))*고양시_Modal_split!K$3 * 0.01</f>
        <v>62.313545035714945</v>
      </c>
      <c r="AJ115" s="207">
        <f>INDEX($A$102:$H$115,MATCH($L115,$B$102:$B$115,0),MATCH($AA$101,$A$102:$H$102,0))*고양시_Modal_split!L$3 * 0.01</f>
        <v>1254.5793733857276</v>
      </c>
      <c r="AK115" s="207">
        <f>INDEX($A$102:$H$115,MATCH($L115,$B$102:$B$115,0),MATCH($AA$101,$A$102:$H$102,0))*고양시_Modal_split!M$3 * 0.01</f>
        <v>95.547435721429579</v>
      </c>
      <c r="AL115" s="207">
        <f>INDEX($A$102:$H$115,MATCH($L115,$B$102:$B$115,0),MATCH($AA$101,$A$102:$H$102,0))*고양시_Modal_split!N$3 * 0.01</f>
        <v>41.542363357143294</v>
      </c>
      <c r="AM115" s="207">
        <f>INDEX($A$102:$H$115,MATCH($L115,$B$102:$B$115,0),MATCH($AA$101,$A$102:$H$102,0))*고양시_Modal_split!O$3 * 0.01</f>
        <v>74.776254042857929</v>
      </c>
      <c r="AN115" s="207">
        <f>INDEX($A$102:$H$115,MATCH($L115,$B$102:$B$115,0),MATCH($AA$101,$A$102:$H$102,0))*고양시_Modal_split!P$3 * 0.01</f>
        <v>41542.363357143295</v>
      </c>
      <c r="AO115" s="303">
        <f>INDEX($A$102:$H$115,MATCH($L115,$B$102:$B$115,0),MATCH($AO$101,$A$102:$H$102,0))*고양시_Modal_split!C$3 * 0.01</f>
        <v>5.1558637883903167</v>
      </c>
      <c r="AP115" s="303">
        <f>INDEX($A$102:$H$115,MATCH($L115,$B$102:$B$115,0),MATCH($AO$101,$A$102:$H$102,0))*고양시_Modal_split!D$3 * 0.01</f>
        <v>866.00097845713083</v>
      </c>
      <c r="AQ115" s="303">
        <f>INDEX($A$102:$H$115,MATCH($L115,$B$102:$B$115,0),MATCH($AO$101,$A$102:$H$102,0))*고양시_Modal_split!E$3 * 0.01</f>
        <v>104.77451769978894</v>
      </c>
      <c r="AR115" s="303">
        <f>INDEX($A$102:$H$115,MATCH($L115,$B$102:$B$115,0),MATCH($AO$101,$A$102:$H$102,0))*고양시_Modal_split!F$3 * 0.01</f>
        <v>168.85453906978287</v>
      </c>
      <c r="AS115" s="303">
        <f>INDEX($A$102:$H$115,MATCH($L115,$B$102:$B$115,0),MATCH($AO$101,$A$102:$H$102,0))*고양시_Modal_split!G$3 * 0.01</f>
        <v>16.940695304711042</v>
      </c>
      <c r="AT115" s="303">
        <f>INDEX($A$102:$H$115,MATCH($L115,$B$102:$B$115,0),MATCH($AO$101,$A$102:$H$102,0))*고양시_Modal_split!H$3 * 0.01</f>
        <v>0.18413799244251133</v>
      </c>
      <c r="AU115" s="303">
        <f>INDEX($A$102:$H$115,MATCH($L115,$B$102:$B$115,0),MATCH($AO$101,$A$102:$H$102,0))*고양시_Modal_split!I$3 * 0.01</f>
        <v>51.190361899018143</v>
      </c>
      <c r="AV115" s="303">
        <f>INDEX($A$102:$H$115,MATCH($L115,$B$102:$B$115,0),MATCH($AO$101,$A$102:$H$102,0))*고양시_Modal_split!J$3 * 0.01</f>
        <v>560.51604899500455</v>
      </c>
      <c r="AW115" s="303">
        <f>INDEX($A$102:$H$115,MATCH($L115,$B$102:$B$115,0),MATCH($AO$101,$A$102:$H$102,0))*고양시_Modal_split!K$3 * 0.01</f>
        <v>2.7620698866376698</v>
      </c>
      <c r="AX115" s="303">
        <f>INDEX($A$102:$H$115,MATCH($L115,$B$102:$B$115,0),MATCH($AO$101,$A$102:$H$102,0))*고양시_Modal_split!L$3 * 0.01</f>
        <v>55.609673717638429</v>
      </c>
      <c r="AY115" s="303">
        <f>INDEX($A$102:$H$115,MATCH($L115,$B$102:$B$115,0),MATCH($AO$101,$A$102:$H$102,0))*고양시_Modal_split!M$3 * 0.01</f>
        <v>4.2351738261777605</v>
      </c>
      <c r="AZ115" s="303">
        <f>INDEX($A$102:$H$115,MATCH($L115,$B$102:$B$115,0),MATCH($AO$101,$A$102:$H$102,0))*고양시_Modal_split!N$3 * 0.01</f>
        <v>1.8413799244251134</v>
      </c>
      <c r="BA115" s="207">
        <f>INDEX($A$102:$H$115,MATCH($L115,$B$102:$B$115,0),MATCH($AO$101,$A$102:$H$102,0))*고양시_Modal_split!O$3 * 0.01</f>
        <v>3.3144838639652039</v>
      </c>
      <c r="BB115" s="207">
        <f>INDEX($A$102:$H$115,MATCH($L115,$B$102:$B$115,0),MATCH($AO$101,$A$102:$H$102,0))*고양시_Modal_split!P$3 * 0.01</f>
        <v>1841.3799244251134</v>
      </c>
      <c r="BC115" s="207">
        <f>INDEX($A$102:$H$115,MATCH($L115,$B$102:$B$115,0),MATCH($BC$101,$A$102:$H$102,0))*고양시_Modal_split!C$3 * 0.01</f>
        <v>1.3982003493939773E-2</v>
      </c>
      <c r="BD115" s="207">
        <f>INDEX($A$102:$H$115,MATCH($L115,$B$102:$B$115,0),MATCH($BC$101,$A$102:$H$102,0))*고양시_Modal_split!D$3 * 0.01</f>
        <v>2.3484772297142413</v>
      </c>
      <c r="BE115" s="207">
        <f>INDEX($A$102:$H$115,MATCH($L115,$B$102:$B$115,0),MATCH($BC$101,$A$102:$H$102,0))*고양시_Modal_split!E$3 * 0.01</f>
        <v>0.28413428528756185</v>
      </c>
      <c r="BF115" s="207">
        <f>INDEX($A$102:$H$115,MATCH($L115,$B$102:$B$115,0),MATCH($BC$101,$A$102:$H$102,0))*고양시_Modal_split!F$3 * 0.01</f>
        <v>0.45791061442652764</v>
      </c>
      <c r="BG115" s="207">
        <f>INDEX($A$102:$H$115,MATCH($L115,$B$102:$B$115,0),MATCH($BC$101,$A$102:$H$102,0))*고양시_Modal_split!G$3 * 0.01</f>
        <v>4.5940868622944969E-2</v>
      </c>
      <c r="BH115" s="207">
        <f>INDEX($A$102:$H$115,MATCH($L115,$B$102:$B$115,0),MATCH($BC$101,$A$102:$H$102,0))*고양시_Modal_split!H$3 * 0.01</f>
        <v>4.9935726764070622E-4</v>
      </c>
      <c r="BI115" s="207">
        <f>INDEX($A$102:$H$115,MATCH($L115,$B$102:$B$115,0),MATCH($BC$101,$A$102:$H$102,0))*고양시_Modal_split!I$3 * 0.01</f>
        <v>0.13882132040411632</v>
      </c>
      <c r="BJ115" s="207">
        <f>INDEX($A$102:$H$115,MATCH($L115,$B$102:$B$115,0),MATCH($BC$101,$A$102:$H$102,0))*고양시_Modal_split!J$3 * 0.01</f>
        <v>1.5200435226983098</v>
      </c>
      <c r="BK115" s="207">
        <f>INDEX($A$102:$H$115,MATCH($L115,$B$102:$B$115,0),MATCH($BC$101,$A$102:$H$102,0))*고양시_Modal_split!K$3 * 0.01</f>
        <v>7.4903590146105934E-3</v>
      </c>
      <c r="BL115" s="207">
        <f>INDEX($A$102:$H$115,MATCH($L115,$B$102:$B$115,0),MATCH($BC$101,$A$102:$H$102,0))*고양시_Modal_split!L$3 * 0.01</f>
        <v>0.15080589482749329</v>
      </c>
      <c r="BM115" s="207">
        <f>INDEX($A$102:$H$115,MATCH($L115,$B$102:$B$115,0),MATCH($BC$101,$A$102:$H$102,0))*고양시_Modal_split!M$3 * 0.01</f>
        <v>1.1485217155736242E-2</v>
      </c>
      <c r="BN115" s="207">
        <f>INDEX($A$102:$H$115,MATCH($L115,$B$102:$B$115,0),MATCH($BC$101,$A$102:$H$102,0))*고양시_Modal_split!N$3 * 0.01</f>
        <v>4.9935726764070631E-3</v>
      </c>
      <c r="BO115" s="207">
        <f>INDEX($A$102:$H$115,MATCH($L115,$B$102:$B$115,0),MATCH($BC$101,$A$102:$H$102,0))*고양시_Modal_split!O$3 * 0.01</f>
        <v>8.988430817532712E-3</v>
      </c>
      <c r="BP115" s="207">
        <f>INDEX($A$102:$H$115,MATCH($L115,$B$102:$B$115,0),MATCH($BC$101,$A$102:$H$102,0))*고양시_Modal_split!P$3 * 0.01</f>
        <v>4.9935726764070623</v>
      </c>
      <c r="BQ115" s="207">
        <f>INDEX($A$102:$H$115,MATCH($L115,$B$102:$B$115,0),MATCH($BQ$101,$A$102:$H$102,0))*고양시_Modal_split!C$3 * 0.01</f>
        <v>3.9615676566163008E-2</v>
      </c>
      <c r="BR115" s="207">
        <f>INDEX($A$102:$H$115,MATCH($L115,$B$102:$B$115,0),MATCH($BQ$101,$A$102:$H$102,0))*고양시_Modal_split!D$3 * 0.01</f>
        <v>6.6540188175237374</v>
      </c>
      <c r="BS115" s="207">
        <f>INDEX($A$102:$H$115,MATCH($L115,$B$102:$B$115,0),MATCH($BQ$101,$A$102:$H$102,0))*고양시_Modal_split!E$3 * 0.01</f>
        <v>0.80504714164809832</v>
      </c>
      <c r="BT115" s="207">
        <f>INDEX($A$102:$H$115,MATCH($L115,$B$102:$B$115,0),MATCH($BQ$101,$A$102:$H$102,0))*고양시_Modal_split!F$3 * 0.01</f>
        <v>1.2974134075418386</v>
      </c>
      <c r="BU115" s="207">
        <f>INDEX($A$102:$H$115,MATCH($L115,$B$102:$B$115,0),MATCH($BQ$101,$A$102:$H$102,0))*고양시_Modal_split!G$3 * 0.01</f>
        <v>0.13016579443167847</v>
      </c>
      <c r="BV115" s="207">
        <f>INDEX($A$102:$H$115,MATCH($L115,$B$102:$B$115,0),MATCH($BQ$101,$A$102:$H$102,0))*고양시_Modal_split!H$3 * 0.01</f>
        <v>1.4148455916486789E-3</v>
      </c>
      <c r="BW115" s="207">
        <f>INDEX($A$102:$H$115,MATCH($L115,$B$102:$B$115,0),MATCH($BQ$101,$A$102:$H$102,0))*고양시_Modal_split!I$3 * 0.01</f>
        <v>0.39332707447833271</v>
      </c>
      <c r="BX115" s="207">
        <f>INDEX($A$102:$H$115,MATCH($L115,$B$102:$B$115,0),MATCH($BQ$101,$A$102:$H$102,0))*고양시_Modal_split!J$3 * 0.01</f>
        <v>4.3067899809785786</v>
      </c>
      <c r="BY115" s="207">
        <f>INDEX($A$102:$H$115,MATCH($L115,$B$102:$B$115,0),MATCH($BQ$101,$A$102:$H$102,0))*고양시_Modal_split!K$3 * 0.01</f>
        <v>2.1222683874730183E-2</v>
      </c>
      <c r="BZ115" s="207">
        <f>INDEX($A$102:$H$115,MATCH($L115,$B$102:$B$115,0),MATCH($BQ$101,$A$102:$H$102,0))*고양시_Modal_split!L$3 * 0.01</f>
        <v>0.42728336867790107</v>
      </c>
      <c r="CA115" s="207">
        <f>INDEX($A$102:$H$115,MATCH($L115,$B$102:$B$115,0),MATCH($BQ$101,$A$102:$H$102,0))*고양시_Modal_split!M$3 * 0.01</f>
        <v>3.2541448607919618E-2</v>
      </c>
      <c r="CB115" s="207">
        <f>INDEX($A$102:$H$115,MATCH($L115,$B$102:$B$115,0),MATCH($BQ$101,$A$102:$H$102,0))*고양시_Modal_split!N$3 * 0.01</f>
        <v>1.4148455916486792E-2</v>
      </c>
      <c r="CC115" s="207">
        <f>INDEX($A$102:$H$115,MATCH($L115,$B$102:$B$115,0),MATCH($BQ$101,$A$102:$H$102,0))*고양시_Modal_split!O$3 * 0.01</f>
        <v>2.5467220649676218E-2</v>
      </c>
      <c r="CD115" s="207">
        <f>INDEX($A$102:$H$115,MATCH($L115,$B$102:$B$115,0),MATCH($BQ$101,$A$102:$H$102,0))*고양시_Modal_split!P$3 * 0.01</f>
        <v>14.148455916486789</v>
      </c>
      <c r="CE115" s="304">
        <f t="shared" si="51"/>
        <v>136.48649227305165</v>
      </c>
      <c r="CF115" s="304">
        <f t="shared" si="47"/>
        <v>22924.856184291497</v>
      </c>
      <c r="CG115" s="304">
        <f t="shared" si="47"/>
        <v>2773.6005036916567</v>
      </c>
      <c r="CH115" s="304">
        <f t="shared" si="47"/>
        <v>4469.932621942442</v>
      </c>
      <c r="CI115" s="304">
        <f t="shared" si="47"/>
        <v>448.45561746859823</v>
      </c>
      <c r="CJ115" s="304">
        <f t="shared" si="47"/>
        <v>4.8745175811804158</v>
      </c>
      <c r="CK115" s="304">
        <f t="shared" si="47"/>
        <v>1355.1158875681556</v>
      </c>
      <c r="CL115" s="304">
        <f t="shared" si="47"/>
        <v>14838.03151711319</v>
      </c>
      <c r="CM115" s="304">
        <f t="shared" si="47"/>
        <v>73.117763717706254</v>
      </c>
      <c r="CN115" s="304">
        <f t="shared" si="47"/>
        <v>1472.1043095164857</v>
      </c>
      <c r="CO115" s="304">
        <f t="shared" si="47"/>
        <v>112.11390436714956</v>
      </c>
      <c r="CP115" s="304">
        <f t="shared" si="47"/>
        <v>48.745175811804152</v>
      </c>
      <c r="CQ115" s="304">
        <f t="shared" si="47"/>
        <v>87.741316461247493</v>
      </c>
      <c r="CR115" s="304">
        <f t="shared" si="47"/>
        <v>48745.175811804169</v>
      </c>
      <c r="CS115" s="305">
        <f t="shared" si="52"/>
        <v>0</v>
      </c>
      <c r="CV115" s="267"/>
      <c r="CW115" s="267" t="s">
        <v>26</v>
      </c>
      <c r="CX115" s="267">
        <f>INDEX($M$101:$Z$115,MATCH($CW115,$L$101:$L$115,0),MATCH(CX$102,$M$102:$Z$102,0))/INDEX(고양시_재차인원!$D$4:$H$35,MATCH("고양시",고양시_재차인원!$B$4:$B$35,0),MATCH($CX$101,고양시_재차인원!$D$4:$H$4,0))</f>
        <v>2243.2850204666397</v>
      </c>
      <c r="CY115" s="267">
        <f>INDEX($M$101:$Z$115,MATCH($CW115,$L$101:$L$115,0),MATCH(CY$102,$M$102:$Z$102,0))/INDEX(고양시_재차인원!$K$4:$O$20,MATCH("경기도",고양시_재차인원!$K$4:$K$20,0),MATCH(CY$102,고양시_재차인원!$K$4:$O$4,0))</f>
        <v>1.8556062874758108E-2</v>
      </c>
      <c r="CZ115" s="267">
        <f>INDEX($M$101:$Z$115,MATCH($CW115,$L$101:$L$115,0),MATCH(CZ$102,$M$102:$Z$102,0))/INDEX(고양시_재차인원!$K$4:$O$20,MATCH("경기도",고양시_재차인원!$K$4:$K$20,0),MATCH(CZ$102,고양시_재차인원!$K$4:$O$4,0))</f>
        <v>5.1585854791827543</v>
      </c>
      <c r="DA115" s="267">
        <f>INDEX($M$101:$Z$115,MATCH($CW115,$L$101:$L$115,0),MATCH(DA$102,$M$102:$Z$102,0))/INDEX(고양시_재차인원!$D$4:$H$35,MATCH("고양시",고양시_재차인원!$B$4:$B$35,0),MATCH($CX$101,고양시_재차인원!$D$4:$H$4,0))</f>
        <v>144.05104745501279</v>
      </c>
      <c r="DB115" s="267">
        <f>INDEX($AA$101:$AN$115,MATCH($CW115,$L$101:$L$115,0),MATCH(DB$102,$AA$102:$AN$102,0))/INDEX(고양시_재차인원!$D$4:$H$35,MATCH("고양시",고양시_재차인원!$B$4:$B$35,0),MATCH($DB$101,고양시_재차인원!$D$4:$H$4,0))</f>
        <v>13856.293253095386</v>
      </c>
      <c r="DC115" s="267">
        <f>INDEX($AA$101:$AN$115,MATCH($CW115,$L$101:$L$115,0),MATCH(DC$102,$AA$102:$AN$102,0))/INDEX(고양시_재차인원!$K$4:$O$20,MATCH("경기도",고양시_재차인원!$K$4:$K$20,0),MATCH(DC$102,고양시_재차인원!$K$4:$O$4,0))</f>
        <v>0.14429441944127577</v>
      </c>
      <c r="DD115" s="267">
        <f>INDEX($AA$101:$AN$115,MATCH($CW115,$L$101:$L$115,0),MATCH(DD$102,$AA$102:$AN$102,0))/INDEX(고양시_재차인원!$K$4:$O$20,MATCH("경기도",고양시_재차인원!$K$4:$K$20,0),MATCH(DD$102,고양시_재차인원!$K$4:$O$4,0))</f>
        <v>40.113848604674665</v>
      </c>
      <c r="DE115" s="267">
        <f>INDEX($AA$101:$AN$115,MATCH($CW115,$L$101:$L$115,0),MATCH(DE$102,$AA$102:$AN$102,0))/INDEX(고양시_재차인원!$D$4:$H$35,MATCH("고양시",고양시_재차인원!$B$4:$B$35,0),MATCH($DB$101,고양시_재차인원!$D$4:$H$4,0))</f>
        <v>889.7726052381048</v>
      </c>
      <c r="DF115" s="267">
        <f>INDEX($AO$101:$BB$115,MATCH($CW115,$L$101:$L$115,0),MATCH(DF$102,$AO$102:$BB$102,0))/INDEX(고양시_재차인원!$D$4:$H$35,MATCH("고양시",고양시_재차인원!$B$4:$B$35,0),MATCH($DF$101,고양시_재차인원!$D$4:$H$4,0))</f>
        <v>666.15459881317759</v>
      </c>
      <c r="DG115" s="267">
        <f>INDEX($AO$101:$BB$115,MATCH($CW115,$L$101:$L$115,0),MATCH(DG$102,$AO$102:$BB$102,0))/INDEX(고양시_재차인원!$K$4:$O$20,MATCH("경기도",고양시_재차인원!$K$4:$K$20,0),MATCH(DG$102,고양시_재차인원!$K$4:$O$4,0))</f>
        <v>6.3959010921330788E-3</v>
      </c>
      <c r="DH115" s="267">
        <f>INDEX($AO$101:$BB$115,MATCH($CW115,$L$101:$L$115,0),MATCH(DH$102,$AO$102:$BB$102,0))/INDEX(고양시_재차인원!$K$4:$O$20,MATCH("경기도",고양시_재차인원!$K$4:$K$20,0),MATCH(DH$102,고양시_재차인원!$K$4:$O$4,0))</f>
        <v>1.7780605036129957</v>
      </c>
      <c r="DI115" s="267">
        <f>INDEX($AO$101:$BB$115,MATCH($CW115,$L$101:$L$115,0),MATCH(DI$102,$AO$102:$BB$102,0))/INDEX(고양시_재차인원!$D$4:$H$35,MATCH("고양시",고양시_재차인원!$B$4:$B$35,0),MATCH($DF$101,고양시_재차인원!$D$4:$H$4,0))</f>
        <v>42.776672090491097</v>
      </c>
      <c r="DJ115" s="267">
        <f>INDEX($BC$101:$BP$115,MATCH($CW115,$L$101:$L$115,0),MATCH(DJ$102,$BC$102:$BP$102,0))/INDEX(고양시_재차인원!$D$4:$H$35,MATCH("고양시",고양시_재차인원!$B$4:$B$35,0),MATCH($DJ$101,고양시_재차인원!$D$4:$H$4,0))</f>
        <v>1.7268214924369421</v>
      </c>
      <c r="DK115" s="267">
        <f>INDEX($BC$101:$BP$115,MATCH($CW115,$L$101:$L$115,0),MATCH(DK$102,$BC$102:$BP$102,0))/INDEX(고양시_재차인원!$K$4:$O$20,MATCH("경기도",고양시_재차인원!$K$4:$K$20,0),MATCH(DK$102,고양시_재차인원!$K$4:$O$4,0))</f>
        <v>1.7344816521038773E-5</v>
      </c>
      <c r="DL115" s="267">
        <f>INDEX($BC$101:$BP$115,MATCH($CW115,$L$101:$L$115,0),MATCH(DL$102,$BC$102:$BP$102,0))/INDEX(고양시_재차인원!$K$4:$O$20,MATCH("경기도",고양시_재차인원!$K$4:$K$20,0),MATCH(DL$102,고양시_재차인원!$K$4:$O$4,0))</f>
        <v>4.8218589928487781E-3</v>
      </c>
      <c r="DM115" s="267">
        <f>INDEX($BC$101:$BP$115,MATCH($CW115,$L$101:$L$115,0),MATCH(DM$102,$BC$102:$BP$102,0))/INDEX(고양시_재차인원!$D$4:$H$35,MATCH("고양시",고양시_재차인원!$B$4:$B$35,0),MATCH($DJ$101,고양시_재차인원!$D$4:$H$4,0))</f>
        <v>0.11088668737315682</v>
      </c>
      <c r="DN115" s="267">
        <f>INDEX($BQ$101:$CD$115,MATCH($CW115,$L$101:$L$115,0),MATCH(DN$102,$BQ$102:$CD$102,0))/INDEX(고양시_재차인원!$D$4:$H$35,MATCH("고양시",고양시_재차인원!$B$4:$B$35,0),MATCH($DN$101,고양시_재차인원!$D$4:$H$4,0))</f>
        <v>5.2809673154950296</v>
      </c>
      <c r="DO115" s="267">
        <f>INDEX($BQ$101:$CD$115,MATCH($CW115,$L$101:$L$115,0),MATCH(DO$102,$BQ$102:$CD$102,0))/INDEX(고양시_재차인원!$K$4:$O$20,MATCH("경기도",고양시_재차인원!$K$4:$K$20,0),MATCH(DO$102,고양시_재차인원!$K$4:$O$4,0))</f>
        <v>4.9143646809610246E-5</v>
      </c>
      <c r="DP115" s="267">
        <f>INDEX($BQ$101:$CD$115,MATCH($CW115,$L$101:$L$115,0),MATCH(DP$102,$BQ$102:$CD$102,0))/INDEX(고양시_재차인원!$K$4:$O$20,MATCH("경기도",고양시_재차인원!$K$4:$K$20,0),MATCH(DP$102,고양시_재차인원!$K$4:$O$4,0))</f>
        <v>1.3661933813071648E-2</v>
      </c>
      <c r="DQ115" s="267">
        <f>INDEX($BQ$101:$CD$115,MATCH($CW115,$L$101:$L$115,0),MATCH(DQ$102,$BQ$102:$CD$102,0))/INDEX(고양시_재차인원!$D$4:$H$35,MATCH("고양시",고양시_재차인원!$B$4:$B$35,0),MATCH($DN$101,고양시_재차인원!$D$4:$H$4,0))</f>
        <v>0.33911378466500086</v>
      </c>
      <c r="DR115" s="270">
        <f t="shared" si="53"/>
        <v>16772.740661183136</v>
      </c>
      <c r="DS115" s="270">
        <f t="shared" si="48"/>
        <v>0.16931287187149763</v>
      </c>
      <c r="DT115" s="270">
        <f t="shared" si="48"/>
        <v>47.068978380276334</v>
      </c>
      <c r="DU115" s="270">
        <f t="shared" si="48"/>
        <v>1077.0503252556466</v>
      </c>
      <c r="DW115" s="278"/>
      <c r="DX115" s="278" t="s">
        <v>26</v>
      </c>
      <c r="DY115" s="281">
        <f t="shared" si="54"/>
        <v>17849.790986438784</v>
      </c>
      <c r="DZ115" s="281">
        <f t="shared" si="55"/>
        <v>47.238291252147832</v>
      </c>
      <c r="EC115" s="278" t="s">
        <v>26</v>
      </c>
      <c r="ED115" s="281">
        <f t="shared" si="56"/>
        <v>17849.790986438784</v>
      </c>
      <c r="EE115" s="281">
        <f t="shared" si="49"/>
        <v>47.238291252147832</v>
      </c>
      <c r="EL115" s="322" t="s">
        <v>681</v>
      </c>
      <c r="EM115" s="322" t="s">
        <v>373</v>
      </c>
      <c r="EN115" s="322">
        <v>39402.4712</v>
      </c>
      <c r="EO115" s="322">
        <v>0.21217073572212786</v>
      </c>
      <c r="EP115" s="477">
        <v>849113</v>
      </c>
      <c r="EQ115" s="324">
        <f t="shared" si="57"/>
        <v>915.47017103981943</v>
      </c>
      <c r="ER115" s="324">
        <f t="shared" si="58"/>
        <v>2.4227312580347737</v>
      </c>
      <c r="ET115" s="420" t="s">
        <v>681</v>
      </c>
      <c r="EU115" s="420" t="s">
        <v>373</v>
      </c>
      <c r="EV115" s="412"/>
      <c r="EW115" s="412"/>
      <c r="EX115" s="421">
        <v>849113</v>
      </c>
      <c r="EY115" s="423">
        <f t="shared" si="59"/>
        <v>889.3792711651846</v>
      </c>
      <c r="EZ115" s="423">
        <f t="shared" si="60"/>
        <v>2.3536834171807826</v>
      </c>
      <c r="FA115">
        <v>0</v>
      </c>
      <c r="FD115" s="322" t="s">
        <v>370</v>
      </c>
      <c r="FE115" s="322" t="s">
        <v>373</v>
      </c>
      <c r="FF115" s="75"/>
      <c r="FG115" s="75"/>
      <c r="FH115" s="323">
        <v>849113</v>
      </c>
      <c r="FI115" s="327">
        <f t="shared" si="61"/>
        <v>889.3792711651846</v>
      </c>
      <c r="FJ115" s="327">
        <f t="shared" si="50"/>
        <v>2.3536834171807826</v>
      </c>
      <c r="FL115" s="101"/>
      <c r="FM115" s="101"/>
      <c r="FN115" s="34"/>
      <c r="FO115" s="34"/>
      <c r="FP115" s="374"/>
      <c r="FQ115" s="405"/>
      <c r="FR115" s="405"/>
    </row>
    <row r="116" spans="1:174">
      <c r="Z116">
        <f>Z115/H115</f>
        <v>0.10959629158521093</v>
      </c>
      <c r="ED116" s="230">
        <f>SUM(ED103:ED114)-ED115</f>
        <v>0</v>
      </c>
      <c r="EE116" s="230" t="b">
        <f>SUM(EE103:EE114)=EE115</f>
        <v>1</v>
      </c>
      <c r="EL116" s="75" t="s">
        <v>669</v>
      </c>
      <c r="EM116" s="325" t="s">
        <v>682</v>
      </c>
      <c r="EN116" s="75">
        <v>39402.4712</v>
      </c>
      <c r="EO116" s="75">
        <v>0.19507846659237171</v>
      </c>
      <c r="EP116" s="478"/>
      <c r="EQ116" s="324">
        <f t="shared" si="57"/>
        <v>632.69556803841022</v>
      </c>
      <c r="ER116" s="324">
        <f t="shared" si="58"/>
        <v>1.6743869740350601</v>
      </c>
      <c r="ET116" s="420" t="s">
        <v>669</v>
      </c>
      <c r="EU116" s="420" t="s">
        <v>569</v>
      </c>
      <c r="EV116" s="420">
        <v>70189.171300000002</v>
      </c>
      <c r="EW116" s="420">
        <v>0.34750094325538916</v>
      </c>
      <c r="EX116" s="421">
        <v>849114</v>
      </c>
      <c r="EY116" s="423">
        <f t="shared" si="59"/>
        <v>614.66374434931549</v>
      </c>
      <c r="EZ116" s="423">
        <f t="shared" si="60"/>
        <v>1.6266669452750608</v>
      </c>
      <c r="FA116">
        <v>0</v>
      </c>
      <c r="FD116" s="306" t="s">
        <v>669</v>
      </c>
      <c r="FE116" s="306" t="s">
        <v>569</v>
      </c>
      <c r="FF116" s="306">
        <v>70189.171300000002</v>
      </c>
      <c r="FG116" s="306">
        <v>0.34750094325538916</v>
      </c>
      <c r="FH116" s="307">
        <v>849114</v>
      </c>
      <c r="FI116" s="326">
        <f t="shared" si="61"/>
        <v>614.66374434931549</v>
      </c>
      <c r="FJ116" s="326">
        <f t="shared" si="50"/>
        <v>1.6266669452750608</v>
      </c>
      <c r="FL116" s="101"/>
      <c r="FM116" s="101"/>
      <c r="FN116" s="101"/>
      <c r="FO116" s="101"/>
      <c r="FP116" s="374"/>
      <c r="FQ116" s="405"/>
      <c r="FR116" s="405"/>
    </row>
    <row r="117" spans="1:174">
      <c r="EL117" s="306" t="s">
        <v>669</v>
      </c>
      <c r="EM117" s="306" t="s">
        <v>569</v>
      </c>
      <c r="EN117" s="306">
        <v>70189.171300000002</v>
      </c>
      <c r="EO117" s="306">
        <v>0.34750094325538916</v>
      </c>
      <c r="EP117" s="308">
        <v>849114</v>
      </c>
      <c r="EQ117" s="308">
        <f t="shared" si="57"/>
        <v>1127.0454936795634</v>
      </c>
      <c r="ER117" s="308">
        <f t="shared" si="58"/>
        <v>2.9826513557107934</v>
      </c>
      <c r="ET117" s="420" t="s">
        <v>669</v>
      </c>
      <c r="EU117" s="420" t="s">
        <v>79</v>
      </c>
      <c r="EV117" s="420">
        <v>51949.691800000001</v>
      </c>
      <c r="EW117" s="420">
        <v>0.2571987468717522</v>
      </c>
      <c r="EX117" s="421">
        <v>849115</v>
      </c>
      <c r="EY117" s="423">
        <f t="shared" si="59"/>
        <v>1094.9246971096959</v>
      </c>
      <c r="EZ117" s="423">
        <f t="shared" si="60"/>
        <v>2.8976457920730359</v>
      </c>
      <c r="FA117">
        <v>0</v>
      </c>
      <c r="FD117" s="306" t="s">
        <v>669</v>
      </c>
      <c r="FE117" s="306" t="s">
        <v>79</v>
      </c>
      <c r="FF117" s="306">
        <v>51949.691800000001</v>
      </c>
      <c r="FG117" s="306">
        <v>0.2571987468717522</v>
      </c>
      <c r="FH117" s="307">
        <v>849115</v>
      </c>
      <c r="FI117" s="326">
        <f t="shared" si="61"/>
        <v>1094.9246971096959</v>
      </c>
      <c r="FJ117" s="326">
        <f t="shared" si="50"/>
        <v>2.8976457920730359</v>
      </c>
      <c r="FL117" s="101"/>
      <c r="FM117" s="101"/>
      <c r="FN117" s="101"/>
      <c r="FO117" s="101"/>
      <c r="FP117" s="374"/>
      <c r="FQ117" s="405"/>
      <c r="FR117" s="405"/>
    </row>
    <row r="118" spans="1:174">
      <c r="EL118" s="306" t="s">
        <v>669</v>
      </c>
      <c r="EM118" s="306" t="s">
        <v>79</v>
      </c>
      <c r="EN118" s="306">
        <v>51949.691800000001</v>
      </c>
      <c r="EO118" s="306">
        <v>0.2571987468717522</v>
      </c>
      <c r="EP118" s="308">
        <v>849115</v>
      </c>
      <c r="EQ118" s="308">
        <f t="shared" si="57"/>
        <v>834.16950160276599</v>
      </c>
      <c r="ER118" s="308">
        <f t="shared" si="58"/>
        <v>2.2075744136336297</v>
      </c>
      <c r="ET118" s="420" t="s">
        <v>669</v>
      </c>
      <c r="EU118" s="420" t="s">
        <v>223</v>
      </c>
      <c r="EV118" s="420">
        <v>40441.3442</v>
      </c>
      <c r="EW118" s="420">
        <v>0.20022184328048706</v>
      </c>
      <c r="EX118" s="421">
        <v>849116</v>
      </c>
      <c r="EY118" s="423">
        <f t="shared" si="59"/>
        <v>810.39567080708719</v>
      </c>
      <c r="EZ118" s="423">
        <f t="shared" si="60"/>
        <v>2.1446585428450713</v>
      </c>
      <c r="FA118">
        <v>0</v>
      </c>
      <c r="FD118" s="306" t="s">
        <v>669</v>
      </c>
      <c r="FE118" s="306" t="s">
        <v>223</v>
      </c>
      <c r="FF118" s="306">
        <v>40441.3442</v>
      </c>
      <c r="FG118" s="306">
        <v>0.20022184328048706</v>
      </c>
      <c r="FH118" s="307">
        <v>849116</v>
      </c>
      <c r="FI118" s="326">
        <f t="shared" si="61"/>
        <v>810.39567080708719</v>
      </c>
      <c r="FJ118" s="326">
        <f t="shared" si="50"/>
        <v>2.1446585428450713</v>
      </c>
      <c r="FL118" s="101"/>
      <c r="FM118" s="101"/>
      <c r="FN118" s="101"/>
      <c r="FO118" s="101"/>
      <c r="FP118" s="374"/>
      <c r="FQ118" s="405"/>
      <c r="FR118" s="405"/>
    </row>
    <row r="119" spans="1:174">
      <c r="EL119" s="306" t="s">
        <v>669</v>
      </c>
      <c r="EM119" s="306" t="s">
        <v>223</v>
      </c>
      <c r="EN119" s="306">
        <v>40441.3442</v>
      </c>
      <c r="EO119" s="306">
        <v>0.20022184328048706</v>
      </c>
      <c r="EP119" s="308">
        <v>849116</v>
      </c>
      <c r="EQ119" s="308">
        <f t="shared" si="57"/>
        <v>649.37701777587654</v>
      </c>
      <c r="ER119" s="308">
        <f t="shared" si="58"/>
        <v>1.7185333274464349</v>
      </c>
      <c r="ET119" s="420" t="s">
        <v>670</v>
      </c>
      <c r="EU119" s="420" t="s">
        <v>570</v>
      </c>
      <c r="EV119" s="420">
        <v>53247.161800000002</v>
      </c>
      <c r="EW119" s="420">
        <v>1</v>
      </c>
      <c r="EX119" s="421">
        <v>849117</v>
      </c>
      <c r="EY119" s="423">
        <f t="shared" si="59"/>
        <v>630.86977276926405</v>
      </c>
      <c r="EZ119" s="423">
        <f t="shared" si="60"/>
        <v>1.6695551276142115</v>
      </c>
      <c r="FA119">
        <v>0</v>
      </c>
      <c r="FD119" s="322" t="s">
        <v>670</v>
      </c>
      <c r="FE119" s="322" t="s">
        <v>570</v>
      </c>
      <c r="FF119" s="322">
        <v>53247.161800000002</v>
      </c>
      <c r="FG119" s="322">
        <v>1</v>
      </c>
      <c r="FH119" s="323">
        <v>849117</v>
      </c>
      <c r="FI119" s="327">
        <f t="shared" si="61"/>
        <v>630.86977276926405</v>
      </c>
      <c r="FJ119" s="327">
        <f t="shared" si="50"/>
        <v>1.6695551276142115</v>
      </c>
      <c r="FL119" s="101"/>
      <c r="FM119" s="101"/>
      <c r="FN119" s="101"/>
      <c r="FO119" s="101"/>
      <c r="FP119" s="374"/>
      <c r="FQ119" s="405"/>
      <c r="FR119" s="405"/>
    </row>
    <row r="120" spans="1:174">
      <c r="EL120" s="322" t="s">
        <v>670</v>
      </c>
      <c r="EM120" s="322" t="s">
        <v>570</v>
      </c>
      <c r="EN120" s="322">
        <v>53247.161800000002</v>
      </c>
      <c r="EO120" s="322">
        <v>1</v>
      </c>
      <c r="EP120" s="323">
        <v>849117</v>
      </c>
      <c r="EQ120" s="324">
        <f>ED107+ED106</f>
        <v>1434.2951440299471</v>
      </c>
      <c r="ER120" s="324">
        <f>EE107+EE106</f>
        <v>3.7957672337285739</v>
      </c>
      <c r="ET120" s="420" t="s">
        <v>13</v>
      </c>
      <c r="EU120" s="420" t="s">
        <v>575</v>
      </c>
      <c r="EV120" s="420">
        <v>8507.8255000000008</v>
      </c>
      <c r="EW120" s="420">
        <v>0.38150552170840318</v>
      </c>
      <c r="EX120" s="421">
        <v>849118</v>
      </c>
      <c r="EY120" s="423">
        <f t="shared" si="59"/>
        <v>1393.4177324250936</v>
      </c>
      <c r="EZ120" s="423">
        <f t="shared" si="60"/>
        <v>3.6875878675673097</v>
      </c>
      <c r="FA120">
        <v>0</v>
      </c>
      <c r="FD120" s="306" t="s">
        <v>13</v>
      </c>
      <c r="FE120" s="306" t="s">
        <v>575</v>
      </c>
      <c r="FF120" s="306">
        <v>8507.8255000000008</v>
      </c>
      <c r="FG120" s="306">
        <v>0.38150552170840318</v>
      </c>
      <c r="FH120" s="307">
        <v>849118</v>
      </c>
      <c r="FI120" s="326">
        <f t="shared" si="61"/>
        <v>1393.4177324250936</v>
      </c>
      <c r="FJ120" s="326">
        <f t="shared" si="50"/>
        <v>3.6875878675673097</v>
      </c>
      <c r="FL120" s="101"/>
      <c r="FM120" s="101"/>
      <c r="FN120" s="101"/>
      <c r="FO120" s="101"/>
      <c r="FP120" s="374"/>
      <c r="FQ120" s="405"/>
      <c r="FR120" s="405"/>
    </row>
    <row r="121" spans="1:174">
      <c r="EL121" s="306" t="s">
        <v>13</v>
      </c>
      <c r="EM121" s="306" t="s">
        <v>575</v>
      </c>
      <c r="EN121" s="306">
        <v>8507.8255000000008</v>
      </c>
      <c r="EO121" s="306">
        <v>0.38150552170840318</v>
      </c>
      <c r="EP121" s="308">
        <v>849118</v>
      </c>
      <c r="EQ121" s="308">
        <f t="shared" si="57"/>
        <v>116.21703987329671</v>
      </c>
      <c r="ER121" s="308">
        <f t="shared" si="58"/>
        <v>0.30756070937571012</v>
      </c>
      <c r="ET121" s="420" t="s">
        <v>13</v>
      </c>
      <c r="EU121" s="420" t="s">
        <v>576</v>
      </c>
      <c r="EV121" s="420">
        <v>5790.3404</v>
      </c>
      <c r="EW121" s="420">
        <v>0.25964881804066664</v>
      </c>
      <c r="EX121" s="421">
        <v>849119</v>
      </c>
      <c r="EY121" s="423">
        <f t="shared" si="59"/>
        <v>112.90485423690777</v>
      </c>
      <c r="EZ121" s="423">
        <f t="shared" si="60"/>
        <v>0.29879522915850237</v>
      </c>
      <c r="FA121">
        <v>0</v>
      </c>
      <c r="FD121" s="306" t="s">
        <v>13</v>
      </c>
      <c r="FE121" s="306" t="s">
        <v>576</v>
      </c>
      <c r="FF121" s="306">
        <v>5790.3404</v>
      </c>
      <c r="FG121" s="306">
        <v>0.25964881804066664</v>
      </c>
      <c r="FH121" s="307">
        <v>849119</v>
      </c>
      <c r="FI121" s="326">
        <f t="shared" si="61"/>
        <v>112.90485423690777</v>
      </c>
      <c r="FJ121" s="326">
        <f t="shared" si="50"/>
        <v>0.29879522915850237</v>
      </c>
      <c r="FL121" s="101"/>
      <c r="FM121" s="101"/>
      <c r="FN121" s="101"/>
      <c r="FO121" s="101"/>
      <c r="FP121" s="374"/>
      <c r="FQ121" s="405"/>
      <c r="FR121" s="405"/>
    </row>
    <row r="122" spans="1:174">
      <c r="EL122" s="306" t="s">
        <v>13</v>
      </c>
      <c r="EM122" s="306" t="s">
        <v>576</v>
      </c>
      <c r="EN122" s="306">
        <v>5790.3404</v>
      </c>
      <c r="EO122" s="306">
        <v>0.25964881804066664</v>
      </c>
      <c r="EP122" s="308">
        <v>849119</v>
      </c>
      <c r="EQ122" s="308">
        <f t="shared" si="57"/>
        <v>79.096147558122894</v>
      </c>
      <c r="ER122" s="308">
        <f t="shared" si="58"/>
        <v>0.20932272305665331</v>
      </c>
      <c r="ET122" s="420" t="s">
        <v>13</v>
      </c>
      <c r="EU122" s="420" t="s">
        <v>382</v>
      </c>
      <c r="EV122" s="420">
        <v>1771.3566000000001</v>
      </c>
      <c r="EW122" s="420">
        <v>7.943067518423165E-2</v>
      </c>
      <c r="EX122" s="421">
        <v>849120</v>
      </c>
      <c r="EY122" s="423">
        <f t="shared" si="59"/>
        <v>76.84190735271639</v>
      </c>
      <c r="EZ122" s="423">
        <f t="shared" si="60"/>
        <v>0.20335702544953871</v>
      </c>
      <c r="FA122">
        <v>0</v>
      </c>
      <c r="FD122" s="306" t="s">
        <v>13</v>
      </c>
      <c r="FE122" s="306" t="s">
        <v>382</v>
      </c>
      <c r="FF122" s="306">
        <v>1771.3566000000001</v>
      </c>
      <c r="FG122" s="306">
        <v>7.943067518423165E-2</v>
      </c>
      <c r="FH122" s="307">
        <v>849120</v>
      </c>
      <c r="FI122" s="326">
        <f t="shared" si="61"/>
        <v>76.84190735271639</v>
      </c>
      <c r="FJ122" s="326">
        <f t="shared" si="50"/>
        <v>0.20335702544953871</v>
      </c>
      <c r="FL122" s="101"/>
      <c r="FM122" s="101"/>
      <c r="FN122" s="101"/>
      <c r="FO122" s="101"/>
      <c r="FP122" s="374"/>
      <c r="FQ122" s="405"/>
      <c r="FR122" s="405"/>
    </row>
    <row r="123" spans="1:174">
      <c r="EL123" s="306" t="s">
        <v>13</v>
      </c>
      <c r="EM123" s="306" t="s">
        <v>382</v>
      </c>
      <c r="EN123" s="306">
        <v>1771.3566000000001</v>
      </c>
      <c r="EO123" s="306">
        <v>7.943067518423165E-2</v>
      </c>
      <c r="EP123" s="308">
        <v>849120</v>
      </c>
      <c r="EQ123" s="308">
        <f t="shared" si="57"/>
        <v>24.196761042175499</v>
      </c>
      <c r="ER123" s="308">
        <f t="shared" si="58"/>
        <v>6.4035127713109069E-2</v>
      </c>
      <c r="ET123" s="420" t="s">
        <v>13</v>
      </c>
      <c r="EU123" s="420" t="s">
        <v>383</v>
      </c>
      <c r="EV123" s="420">
        <v>6231.1390000000001</v>
      </c>
      <c r="EW123" s="420">
        <v>0.2794149850666986</v>
      </c>
      <c r="EX123" s="421">
        <v>849121</v>
      </c>
      <c r="EY123" s="423">
        <f t="shared" si="59"/>
        <v>23.507153352473498</v>
      </c>
      <c r="EZ123" s="423">
        <f t="shared" si="60"/>
        <v>6.2210126573285465E-2</v>
      </c>
      <c r="FA123">
        <v>0</v>
      </c>
      <c r="FD123" s="306" t="s">
        <v>13</v>
      </c>
      <c r="FE123" s="306" t="s">
        <v>383</v>
      </c>
      <c r="FF123" s="306">
        <v>6231.1390000000001</v>
      </c>
      <c r="FG123" s="306">
        <v>0.2794149850666986</v>
      </c>
      <c r="FH123" s="307">
        <v>849121</v>
      </c>
      <c r="FI123" s="326">
        <f t="shared" si="61"/>
        <v>23.507153352473498</v>
      </c>
      <c r="FJ123" s="326">
        <f t="shared" si="50"/>
        <v>6.2210126573285465E-2</v>
      </c>
      <c r="FL123" s="101"/>
      <c r="FM123" s="101"/>
      <c r="FN123" s="101"/>
      <c r="FO123" s="101"/>
      <c r="FP123" s="374"/>
      <c r="FQ123" s="405"/>
      <c r="FR123" s="405"/>
    </row>
    <row r="124" spans="1:174">
      <c r="EL124" s="306" t="s">
        <v>13</v>
      </c>
      <c r="EM124" s="306" t="s">
        <v>383</v>
      </c>
      <c r="EN124" s="306">
        <v>6231.1390000000001</v>
      </c>
      <c r="EO124" s="306">
        <v>0.2794149850666986</v>
      </c>
      <c r="EP124" s="308">
        <v>849121</v>
      </c>
      <c r="EQ124" s="308">
        <f t="shared" si="57"/>
        <v>85.117463871238797</v>
      </c>
      <c r="ER124" s="308">
        <f t="shared" si="58"/>
        <v>0.22525773842665825</v>
      </c>
      <c r="ET124" s="420" t="s">
        <v>301</v>
      </c>
      <c r="EU124" s="420" t="s">
        <v>577</v>
      </c>
      <c r="EV124" s="420">
        <v>11058.6175</v>
      </c>
      <c r="EW124" s="420">
        <v>0.1539041977987548</v>
      </c>
      <c r="EX124" s="421">
        <v>849122</v>
      </c>
      <c r="EY124" s="423">
        <f t="shared" si="59"/>
        <v>82.691616150908487</v>
      </c>
      <c r="EZ124" s="423">
        <f t="shared" si="60"/>
        <v>0.21883789288149849</v>
      </c>
      <c r="FA124">
        <v>0</v>
      </c>
      <c r="FD124" s="306" t="s">
        <v>301</v>
      </c>
      <c r="FE124" s="306" t="s">
        <v>577</v>
      </c>
      <c r="FF124" s="306">
        <v>11058.6175</v>
      </c>
      <c r="FG124" s="306">
        <v>0.1539041977987548</v>
      </c>
      <c r="FH124" s="307">
        <v>849122</v>
      </c>
      <c r="FI124" s="326">
        <f t="shared" si="61"/>
        <v>82.691616150908487</v>
      </c>
      <c r="FJ124" s="326">
        <f t="shared" si="50"/>
        <v>0.21883789288149849</v>
      </c>
      <c r="FL124" s="101"/>
      <c r="FM124" s="101"/>
      <c r="FN124" s="101"/>
      <c r="FO124" s="101"/>
      <c r="FP124" s="374"/>
      <c r="FQ124" s="405"/>
      <c r="FR124" s="405"/>
    </row>
    <row r="125" spans="1:174">
      <c r="EL125" s="306" t="s">
        <v>301</v>
      </c>
      <c r="EM125" s="306" t="s">
        <v>577</v>
      </c>
      <c r="EN125" s="306">
        <v>11058.6175</v>
      </c>
      <c r="EO125" s="306">
        <v>0.1539041977987548</v>
      </c>
      <c r="EP125" s="308">
        <v>849122</v>
      </c>
      <c r="EQ125" s="308">
        <f t="shared" si="57"/>
        <v>823.33494952167098</v>
      </c>
      <c r="ER125" s="308">
        <f t="shared" si="58"/>
        <v>2.1789014881533166</v>
      </c>
      <c r="ET125" s="420" t="s">
        <v>301</v>
      </c>
      <c r="EU125" s="420" t="s">
        <v>103</v>
      </c>
      <c r="EV125" s="420">
        <v>11210.3078</v>
      </c>
      <c r="EW125" s="420">
        <v>0.15601529115516691</v>
      </c>
      <c r="EX125" s="421">
        <v>849123</v>
      </c>
      <c r="EY125" s="423">
        <f t="shared" si="59"/>
        <v>799.86990346030336</v>
      </c>
      <c r="EZ125" s="423">
        <f t="shared" si="60"/>
        <v>2.1168027957409472</v>
      </c>
      <c r="FA125">
        <v>0</v>
      </c>
      <c r="FD125" s="306" t="s">
        <v>301</v>
      </c>
      <c r="FE125" s="306" t="s">
        <v>103</v>
      </c>
      <c r="FF125" s="306">
        <v>11210.3078</v>
      </c>
      <c r="FG125" s="306">
        <v>0.15601529115516691</v>
      </c>
      <c r="FH125" s="307">
        <v>849123</v>
      </c>
      <c r="FI125" s="326">
        <f t="shared" si="61"/>
        <v>799.86990346030336</v>
      </c>
      <c r="FJ125" s="326">
        <f t="shared" si="50"/>
        <v>2.1168027957409472</v>
      </c>
      <c r="FL125" s="101"/>
      <c r="FM125" s="101"/>
      <c r="FN125" s="101"/>
      <c r="FO125" s="101"/>
      <c r="FP125" s="374"/>
      <c r="FQ125" s="405"/>
      <c r="FR125" s="405"/>
    </row>
    <row r="126" spans="1:174">
      <c r="EL126" s="306" t="s">
        <v>301</v>
      </c>
      <c r="EM126" s="306" t="s">
        <v>103</v>
      </c>
      <c r="EN126" s="306">
        <v>11210.3078</v>
      </c>
      <c r="EO126" s="306">
        <v>0.15601529115516691</v>
      </c>
      <c r="EP126" s="308">
        <v>849123</v>
      </c>
      <c r="EQ126" s="308">
        <f t="shared" si="57"/>
        <v>834.62857872020572</v>
      </c>
      <c r="ER126" s="308">
        <f t="shared" si="58"/>
        <v>2.2087893308613609</v>
      </c>
      <c r="ET126" s="420" t="s">
        <v>301</v>
      </c>
      <c r="EU126" s="420" t="s">
        <v>104</v>
      </c>
      <c r="EV126" s="420">
        <v>10719.050499999999</v>
      </c>
      <c r="EW126" s="420">
        <v>0.14917840031693305</v>
      </c>
      <c r="EX126" s="421">
        <v>849124</v>
      </c>
      <c r="EY126" s="423">
        <f t="shared" si="59"/>
        <v>810.84166422667988</v>
      </c>
      <c r="EZ126" s="423">
        <f t="shared" si="60"/>
        <v>2.145838834931812</v>
      </c>
      <c r="FA126">
        <v>0</v>
      </c>
      <c r="FD126" s="306" t="s">
        <v>301</v>
      </c>
      <c r="FE126" s="306" t="s">
        <v>104</v>
      </c>
      <c r="FF126" s="306">
        <v>10719.050499999999</v>
      </c>
      <c r="FG126" s="306">
        <v>0.14917840031693305</v>
      </c>
      <c r="FH126" s="307">
        <v>849124</v>
      </c>
      <c r="FI126" s="326">
        <f t="shared" si="61"/>
        <v>810.84166422667988</v>
      </c>
      <c r="FJ126" s="326">
        <f t="shared" si="50"/>
        <v>2.145838834931812</v>
      </c>
      <c r="FL126" s="101"/>
      <c r="FM126" s="101"/>
      <c r="FN126" s="101"/>
      <c r="FO126" s="101"/>
      <c r="FP126" s="374"/>
      <c r="FQ126" s="405"/>
      <c r="FR126" s="405"/>
    </row>
    <row r="127" spans="1:174">
      <c r="EL127" s="306" t="s">
        <v>301</v>
      </c>
      <c r="EM127" s="306" t="s">
        <v>104</v>
      </c>
      <c r="EN127" s="306">
        <v>10719.050499999999</v>
      </c>
      <c r="EO127" s="306">
        <v>0.14917840031693305</v>
      </c>
      <c r="EP127" s="308">
        <v>849124</v>
      </c>
      <c r="EQ127" s="308">
        <f t="shared" si="57"/>
        <v>798.05354533129844</v>
      </c>
      <c r="ER127" s="308">
        <f t="shared" si="58"/>
        <v>2.1119959240873061</v>
      </c>
      <c r="ET127" s="420" t="s">
        <v>301</v>
      </c>
      <c r="EU127" s="420" t="s">
        <v>117</v>
      </c>
      <c r="EV127" s="420">
        <v>25550.6122</v>
      </c>
      <c r="EW127" s="420">
        <v>0.35559114635333733</v>
      </c>
      <c r="EX127" s="421">
        <v>849125</v>
      </c>
      <c r="EY127" s="423">
        <f t="shared" si="59"/>
        <v>775.30901928935646</v>
      </c>
      <c r="EZ127" s="423">
        <f t="shared" si="60"/>
        <v>2.051804040250818</v>
      </c>
      <c r="FA127">
        <v>0</v>
      </c>
      <c r="FD127" s="306" t="s">
        <v>301</v>
      </c>
      <c r="FE127" s="306" t="s">
        <v>117</v>
      </c>
      <c r="FF127" s="306">
        <v>25550.6122</v>
      </c>
      <c r="FG127" s="306">
        <v>0.35559114635333733</v>
      </c>
      <c r="FH127" s="307">
        <v>849125</v>
      </c>
      <c r="FI127" s="326">
        <f t="shared" si="61"/>
        <v>775.30901928935646</v>
      </c>
      <c r="FJ127" s="326">
        <f t="shared" si="50"/>
        <v>2.051804040250818</v>
      </c>
      <c r="FL127" s="101"/>
      <c r="FM127" s="101"/>
      <c r="FN127" s="101"/>
      <c r="FO127" s="101"/>
      <c r="FP127" s="374"/>
      <c r="FQ127" s="405"/>
      <c r="FR127" s="405"/>
    </row>
    <row r="128" spans="1:174">
      <c r="EL128" s="306" t="s">
        <v>301</v>
      </c>
      <c r="EM128" s="306" t="s">
        <v>117</v>
      </c>
      <c r="EN128" s="306">
        <v>25550.6122</v>
      </c>
      <c r="EO128" s="306">
        <v>0.35559114635333733</v>
      </c>
      <c r="EP128" s="308">
        <v>849125</v>
      </c>
      <c r="EQ128" s="308">
        <f t="shared" si="57"/>
        <v>1902.2913131713606</v>
      </c>
      <c r="ER128" s="308">
        <f t="shared" si="58"/>
        <v>5.0342881418774352</v>
      </c>
      <c r="ET128" s="420" t="s">
        <v>301</v>
      </c>
      <c r="EU128" s="420" t="s">
        <v>118</v>
      </c>
      <c r="EV128" s="420">
        <v>13315.3163</v>
      </c>
      <c r="EW128" s="420">
        <v>0.18531096437580774</v>
      </c>
      <c r="EX128" s="421">
        <v>849126</v>
      </c>
      <c r="EY128" s="423">
        <f t="shared" si="59"/>
        <v>1848.0760107459769</v>
      </c>
      <c r="EZ128" s="423">
        <f t="shared" si="60"/>
        <v>4.8908109298339282</v>
      </c>
      <c r="FA128">
        <v>0</v>
      </c>
      <c r="FD128" s="306" t="s">
        <v>301</v>
      </c>
      <c r="FE128" s="306" t="s">
        <v>118</v>
      </c>
      <c r="FF128" s="306">
        <v>13315.3163</v>
      </c>
      <c r="FG128" s="306">
        <v>0.18531096437580774</v>
      </c>
      <c r="FH128" s="307">
        <v>849126</v>
      </c>
      <c r="FI128" s="326">
        <f t="shared" si="61"/>
        <v>1848.0760107459769</v>
      </c>
      <c r="FJ128" s="326">
        <f t="shared" si="50"/>
        <v>4.8908109298339282</v>
      </c>
      <c r="FL128" s="101"/>
      <c r="FM128" s="101"/>
      <c r="FN128" s="101"/>
      <c r="FO128" s="101"/>
      <c r="FP128" s="374"/>
      <c r="FQ128" s="405"/>
      <c r="FR128" s="405"/>
    </row>
    <row r="129" spans="1:174">
      <c r="EL129" s="306" t="s">
        <v>301</v>
      </c>
      <c r="EM129" s="306" t="s">
        <v>118</v>
      </c>
      <c r="EN129" s="306">
        <v>13315.3163</v>
      </c>
      <c r="EO129" s="306">
        <v>0.18531096437580774</v>
      </c>
      <c r="EP129" s="308">
        <v>849126</v>
      </c>
      <c r="EQ129" s="308">
        <f t="shared" si="57"/>
        <v>991.35043541614334</v>
      </c>
      <c r="ER129" s="308">
        <f t="shared" si="58"/>
        <v>2.6235433589508017</v>
      </c>
      <c r="ET129" s="420" t="s">
        <v>302</v>
      </c>
      <c r="EU129" s="420" t="s">
        <v>579</v>
      </c>
      <c r="EV129" s="420">
        <v>15739.680700000001</v>
      </c>
      <c r="EW129" s="420">
        <v>0.310763615277375</v>
      </c>
      <c r="EX129" s="421">
        <v>849127</v>
      </c>
      <c r="EY129" s="423">
        <f t="shared" si="59"/>
        <v>963.09694800678324</v>
      </c>
      <c r="EZ129" s="423">
        <f t="shared" si="60"/>
        <v>2.5487723732207042</v>
      </c>
      <c r="FA129">
        <v>0</v>
      </c>
      <c r="FD129" s="306" t="s">
        <v>302</v>
      </c>
      <c r="FE129" s="306" t="s">
        <v>579</v>
      </c>
      <c r="FF129" s="306">
        <v>15739.680700000001</v>
      </c>
      <c r="FG129" s="306">
        <v>0.310763615277375</v>
      </c>
      <c r="FH129" s="307">
        <v>849127</v>
      </c>
      <c r="FI129" s="326">
        <f t="shared" si="61"/>
        <v>963.09694800678324</v>
      </c>
      <c r="FJ129" s="326">
        <f t="shared" si="50"/>
        <v>2.5487723732207042</v>
      </c>
      <c r="FL129" s="101"/>
      <c r="FM129" s="101"/>
      <c r="FN129" s="101"/>
      <c r="FO129" s="101"/>
      <c r="FP129" s="374"/>
      <c r="FQ129" s="405"/>
      <c r="FR129" s="405"/>
    </row>
    <row r="130" spans="1:174">
      <c r="EL130" s="306" t="s">
        <v>302</v>
      </c>
      <c r="EM130" s="306" t="s">
        <v>579</v>
      </c>
      <c r="EN130" s="306">
        <v>15739.680700000001</v>
      </c>
      <c r="EO130" s="306">
        <v>0.310763615277375</v>
      </c>
      <c r="EP130" s="308">
        <v>849127</v>
      </c>
      <c r="EQ130" s="308">
        <f t="shared" si="57"/>
        <v>19.811361060826837</v>
      </c>
      <c r="ER130" s="308">
        <f t="shared" si="58"/>
        <v>5.2429456714860469E-2</v>
      </c>
      <c r="ET130" s="420" t="s">
        <v>302</v>
      </c>
      <c r="EU130" s="420" t="s">
        <v>580</v>
      </c>
      <c r="EV130" s="420">
        <v>34908.721899999997</v>
      </c>
      <c r="EW130" s="420">
        <v>0.68923638472262494</v>
      </c>
      <c r="EX130" s="421">
        <v>849128</v>
      </c>
      <c r="EY130" s="423">
        <f t="shared" si="59"/>
        <v>19.246737270593272</v>
      </c>
      <c r="EZ130" s="423">
        <f t="shared" si="60"/>
        <v>5.0935217198486947E-2</v>
      </c>
      <c r="FA130">
        <v>0</v>
      </c>
      <c r="FD130" s="306" t="s">
        <v>302</v>
      </c>
      <c r="FE130" s="306" t="s">
        <v>580</v>
      </c>
      <c r="FF130" s="306">
        <v>34908.721899999997</v>
      </c>
      <c r="FG130" s="306">
        <v>0.68923638472262494</v>
      </c>
      <c r="FH130" s="307">
        <v>849128</v>
      </c>
      <c r="FI130" s="326">
        <f t="shared" si="61"/>
        <v>19.246737270593272</v>
      </c>
      <c r="FJ130" s="326">
        <f t="shared" si="50"/>
        <v>5.0935217198486947E-2</v>
      </c>
      <c r="FL130" s="101"/>
      <c r="FM130" s="101"/>
      <c r="FN130" s="101"/>
      <c r="FO130" s="101"/>
      <c r="FP130" s="374"/>
      <c r="FQ130" s="405"/>
      <c r="FR130" s="405"/>
    </row>
    <row r="131" spans="1:174">
      <c r="EL131" s="306" t="s">
        <v>302</v>
      </c>
      <c r="EM131" s="306" t="s">
        <v>580</v>
      </c>
      <c r="EN131" s="306">
        <v>34908.721899999997</v>
      </c>
      <c r="EO131" s="306">
        <v>0.68923638472262494</v>
      </c>
      <c r="EP131" s="308">
        <v>849128</v>
      </c>
      <c r="EQ131" s="308">
        <f t="shared" si="57"/>
        <v>43.939220046115224</v>
      </c>
      <c r="ER131" s="308">
        <f t="shared" si="58"/>
        <v>0.11628223969163183</v>
      </c>
      <c r="ET131" s="420" t="s">
        <v>303</v>
      </c>
      <c r="EU131" s="420" t="s">
        <v>582</v>
      </c>
      <c r="EV131" s="420">
        <v>4662.5794999999998</v>
      </c>
      <c r="EW131" s="420">
        <v>1</v>
      </c>
      <c r="EX131" s="421">
        <v>849129</v>
      </c>
      <c r="EY131" s="423">
        <f t="shared" si="59"/>
        <v>42.686952274800944</v>
      </c>
      <c r="EZ131" s="423">
        <f t="shared" si="60"/>
        <v>0.11296819586042033</v>
      </c>
      <c r="FA131">
        <v>0</v>
      </c>
      <c r="FD131" s="306" t="s">
        <v>303</v>
      </c>
      <c r="FE131" s="306" t="s">
        <v>582</v>
      </c>
      <c r="FF131" s="306">
        <v>4662.5794999999998</v>
      </c>
      <c r="FG131" s="306">
        <v>1</v>
      </c>
      <c r="FH131" s="307">
        <v>849129</v>
      </c>
      <c r="FI131" s="326">
        <f t="shared" si="61"/>
        <v>42.686952274800944</v>
      </c>
      <c r="FJ131" s="326">
        <f t="shared" si="50"/>
        <v>0.11296819586042033</v>
      </c>
      <c r="FL131" s="101"/>
      <c r="FM131" s="101"/>
      <c r="FN131" s="101"/>
      <c r="FO131" s="101"/>
      <c r="FP131" s="374"/>
      <c r="FQ131" s="405"/>
      <c r="FR131" s="405"/>
    </row>
    <row r="132" spans="1:174">
      <c r="EL132" s="306" t="s">
        <v>303</v>
      </c>
      <c r="EM132" s="306" t="s">
        <v>582</v>
      </c>
      <c r="EN132" s="306">
        <v>4662.5794999999998</v>
      </c>
      <c r="EO132" s="306">
        <v>1</v>
      </c>
      <c r="EP132" s="308">
        <v>849129</v>
      </c>
      <c r="EQ132" s="308">
        <f t="shared" si="57"/>
        <v>112.81808376651261</v>
      </c>
      <c r="ER132" s="308">
        <f t="shared" si="58"/>
        <v>0.29856559684764078</v>
      </c>
      <c r="ET132" s="420" t="s">
        <v>304</v>
      </c>
      <c r="EU132" s="420" t="s">
        <v>584</v>
      </c>
      <c r="EV132" s="420">
        <v>1500.06</v>
      </c>
      <c r="EW132" s="420">
        <v>0.43611638887745335</v>
      </c>
      <c r="EX132" s="421">
        <v>849130</v>
      </c>
      <c r="EY132" s="423">
        <f t="shared" si="59"/>
        <v>109.602768379167</v>
      </c>
      <c r="EZ132" s="423">
        <f t="shared" si="60"/>
        <v>0.29005647733748302</v>
      </c>
      <c r="FA132">
        <v>0</v>
      </c>
      <c r="FD132" s="306" t="s">
        <v>304</v>
      </c>
      <c r="FE132" s="306" t="s">
        <v>584</v>
      </c>
      <c r="FF132" s="306">
        <v>1500.06</v>
      </c>
      <c r="FG132" s="306">
        <v>0.43611638887745335</v>
      </c>
      <c r="FH132" s="307">
        <v>849130</v>
      </c>
      <c r="FI132" s="326">
        <f t="shared" si="61"/>
        <v>109.602768379167</v>
      </c>
      <c r="FJ132" s="326">
        <f t="shared" si="50"/>
        <v>0.29005647733748302</v>
      </c>
      <c r="FL132" s="101"/>
      <c r="FM132" s="101"/>
      <c r="FN132" s="101"/>
      <c r="FO132" s="101"/>
      <c r="FP132" s="374"/>
      <c r="FQ132" s="405"/>
      <c r="FR132" s="405"/>
    </row>
    <row r="133" spans="1:174">
      <c r="EL133" s="306" t="s">
        <v>304</v>
      </c>
      <c r="EM133" s="306" t="s">
        <v>584</v>
      </c>
      <c r="EN133" s="306">
        <v>1500.06</v>
      </c>
      <c r="EO133" s="306">
        <v>0.43611638887745335</v>
      </c>
      <c r="EP133" s="308">
        <v>849130</v>
      </c>
      <c r="EQ133" s="308">
        <f t="shared" si="57"/>
        <v>4.5392119544814324</v>
      </c>
      <c r="ER133" s="308">
        <f t="shared" si="58"/>
        <v>1.2012724211949165E-2</v>
      </c>
      <c r="ET133" s="420" t="s">
        <v>304</v>
      </c>
      <c r="EU133" s="420" t="s">
        <v>393</v>
      </c>
      <c r="EV133" s="420">
        <v>1939.5264</v>
      </c>
      <c r="EW133" s="420">
        <v>0.56388361112254659</v>
      </c>
      <c r="EX133" s="421">
        <v>849131</v>
      </c>
      <c r="EY133" s="423">
        <f t="shared" si="59"/>
        <v>4.4098444137787114</v>
      </c>
      <c r="EZ133" s="423">
        <f t="shared" si="60"/>
        <v>1.1670361571908615E-2</v>
      </c>
      <c r="FA133">
        <v>0</v>
      </c>
      <c r="FD133" s="306" t="s">
        <v>304</v>
      </c>
      <c r="FE133" s="306" t="s">
        <v>393</v>
      </c>
      <c r="FF133" s="306">
        <v>1939.5264</v>
      </c>
      <c r="FG133" s="306">
        <v>0.56388361112254659</v>
      </c>
      <c r="FH133" s="307">
        <v>849131</v>
      </c>
      <c r="FI133" s="326">
        <f t="shared" si="61"/>
        <v>4.4098444137787114</v>
      </c>
      <c r="FJ133" s="326">
        <f t="shared" si="50"/>
        <v>1.1670361571908615E-2</v>
      </c>
      <c r="FL133" s="101"/>
      <c r="FM133" s="101"/>
      <c r="FN133" s="101"/>
      <c r="FO133" s="101"/>
      <c r="FP133" s="374"/>
      <c r="FQ133" s="405"/>
      <c r="FR133" s="405"/>
    </row>
    <row r="134" spans="1:174">
      <c r="EL134" s="306" t="s">
        <v>304</v>
      </c>
      <c r="EM134" s="306" t="s">
        <v>393</v>
      </c>
      <c r="EN134" s="306">
        <v>1939.5264</v>
      </c>
      <c r="EO134" s="306">
        <v>0.56388361112254659</v>
      </c>
      <c r="EP134" s="308">
        <v>849131</v>
      </c>
      <c r="EQ134" s="308">
        <f t="shared" si="57"/>
        <v>5.8690461854274742</v>
      </c>
      <c r="ER134" s="308">
        <f t="shared" si="58"/>
        <v>1.553204254829447E-2</v>
      </c>
      <c r="ET134" s="420" t="s">
        <v>305</v>
      </c>
      <c r="EU134" s="420" t="s">
        <v>679</v>
      </c>
      <c r="EV134" s="420">
        <v>2026.3647000000001</v>
      </c>
      <c r="EW134" s="420">
        <v>1</v>
      </c>
      <c r="EX134" s="421">
        <v>849132</v>
      </c>
      <c r="EY134" s="423">
        <f t="shared" si="59"/>
        <v>5.701778369142791</v>
      </c>
      <c r="EZ134" s="423">
        <f t="shared" si="60"/>
        <v>1.5089379335668078E-2</v>
      </c>
      <c r="FA134">
        <v>0</v>
      </c>
      <c r="FD134" s="306" t="s">
        <v>305</v>
      </c>
      <c r="FE134" s="306" t="s">
        <v>679</v>
      </c>
      <c r="FF134" s="306">
        <v>2026.3647000000001</v>
      </c>
      <c r="FG134" s="306">
        <v>1</v>
      </c>
      <c r="FH134" s="307">
        <v>849132</v>
      </c>
      <c r="FI134" s="326">
        <f t="shared" si="61"/>
        <v>5.701778369142791</v>
      </c>
      <c r="FJ134" s="326">
        <f t="shared" si="50"/>
        <v>1.5089379335668078E-2</v>
      </c>
      <c r="FL134" s="101"/>
      <c r="FM134" s="101"/>
      <c r="FN134" s="101"/>
      <c r="FO134" s="101"/>
      <c r="FP134" s="374"/>
      <c r="FQ134" s="405"/>
      <c r="FR134" s="405"/>
    </row>
    <row r="135" spans="1:174">
      <c r="EL135" s="306" t="s">
        <v>305</v>
      </c>
      <c r="EM135" s="306" t="s">
        <v>679</v>
      </c>
      <c r="EN135" s="306">
        <v>2026.3647000000001</v>
      </c>
      <c r="EO135" s="306">
        <v>1</v>
      </c>
      <c r="EP135" s="308">
        <v>849132</v>
      </c>
      <c r="EQ135" s="308">
        <f t="shared" si="57"/>
        <v>32.154083182218592</v>
      </c>
      <c r="ER135" s="308">
        <f t="shared" si="58"/>
        <v>8.5093654455752676E-2</v>
      </c>
      <c r="ET135" s="420" t="s">
        <v>47</v>
      </c>
      <c r="EU135" s="420" t="s">
        <v>680</v>
      </c>
      <c r="EV135" s="420">
        <v>41993.0622</v>
      </c>
      <c r="EW135" s="420">
        <v>0.3967757985704885</v>
      </c>
      <c r="EX135" s="421">
        <v>849133</v>
      </c>
      <c r="EY135" s="423">
        <f t="shared" si="59"/>
        <v>31.237691811525362</v>
      </c>
      <c r="EZ135" s="423">
        <f t="shared" si="60"/>
        <v>8.2668485303763722E-2</v>
      </c>
      <c r="FA135">
        <v>0</v>
      </c>
      <c r="FD135" s="306" t="s">
        <v>47</v>
      </c>
      <c r="FE135" s="306" t="s">
        <v>680</v>
      </c>
      <c r="FF135" s="306">
        <v>41993.0622</v>
      </c>
      <c r="FG135" s="306">
        <v>0.3967757985704885</v>
      </c>
      <c r="FH135" s="307">
        <v>849133</v>
      </c>
      <c r="FI135" s="326">
        <f t="shared" si="61"/>
        <v>31.237691811525362</v>
      </c>
      <c r="FJ135" s="326">
        <f t="shared" si="50"/>
        <v>8.2668485303763722E-2</v>
      </c>
      <c r="FL135" s="101"/>
      <c r="FM135" s="101"/>
      <c r="FN135" s="101"/>
      <c r="FO135" s="101"/>
      <c r="FP135" s="374"/>
      <c r="FQ135" s="405"/>
      <c r="FR135" s="405"/>
    </row>
    <row r="136" spans="1:174">
      <c r="EL136" s="306" t="s">
        <v>47</v>
      </c>
      <c r="EM136" s="306" t="s">
        <v>680</v>
      </c>
      <c r="EN136" s="306">
        <v>41993.0622</v>
      </c>
      <c r="EO136" s="306">
        <v>0.3967757985704885</v>
      </c>
      <c r="EP136" s="308">
        <v>849133</v>
      </c>
      <c r="EQ136" s="308">
        <f t="shared" si="57"/>
        <v>1105.3704791708049</v>
      </c>
      <c r="ER136" s="308">
        <f t="shared" si="58"/>
        <v>2.9252898634088869</v>
      </c>
      <c r="ET136" s="420" t="s">
        <v>47</v>
      </c>
      <c r="EU136" s="420" t="s">
        <v>398</v>
      </c>
      <c r="EV136" s="420">
        <v>63842.682699999998</v>
      </c>
      <c r="EW136" s="420">
        <v>0.60322420142951161</v>
      </c>
      <c r="EX136" s="421">
        <v>849134</v>
      </c>
      <c r="EY136" s="423">
        <f t="shared" si="59"/>
        <v>1073.8674205144368</v>
      </c>
      <c r="EZ136" s="423">
        <f t="shared" si="60"/>
        <v>2.8419191023017336</v>
      </c>
      <c r="FA136">
        <v>0</v>
      </c>
      <c r="FD136" s="306" t="s">
        <v>47</v>
      </c>
      <c r="FE136" s="306" t="s">
        <v>398</v>
      </c>
      <c r="FF136" s="306">
        <v>63842.682699999998</v>
      </c>
      <c r="FG136" s="306">
        <v>0.60322420142951161</v>
      </c>
      <c r="FH136" s="307">
        <v>849134</v>
      </c>
      <c r="FI136" s="326">
        <f t="shared" si="61"/>
        <v>1073.8674205144368</v>
      </c>
      <c r="FJ136" s="326">
        <f t="shared" si="50"/>
        <v>2.8419191023017336</v>
      </c>
      <c r="FL136" s="101"/>
      <c r="FM136" s="101"/>
      <c r="FN136" s="101"/>
      <c r="FO136" s="101"/>
      <c r="FP136" s="374"/>
      <c r="FQ136" s="405"/>
      <c r="FR136" s="405"/>
    </row>
    <row r="137" spans="1:174">
      <c r="EL137" s="306" t="s">
        <v>47</v>
      </c>
      <c r="EM137" s="306" t="s">
        <v>398</v>
      </c>
      <c r="EN137" s="306">
        <v>63842.682699999998</v>
      </c>
      <c r="EO137" s="306">
        <v>0.60322420142951161</v>
      </c>
      <c r="EP137" s="308">
        <v>849134</v>
      </c>
      <c r="EQ137" s="308">
        <f t="shared" si="57"/>
        <v>1680.5113290273136</v>
      </c>
      <c r="ER137" s="308">
        <f t="shared" si="58"/>
        <v>4.4473620824713258</v>
      </c>
      <c r="EY137" s="431">
        <f>EY138-VLOOKUP($EV$138,장항공공주택지구_통행량제외분!$J$12:$P$18,2,FALSE)</f>
        <v>9642.4013008797647</v>
      </c>
      <c r="EZ137" s="431">
        <f>EZ138-VLOOKUP($EV$138,장항공공주택지구_통행량제외분!$J$12:$P$18,4,FALSE)</f>
        <v>17.221338624102906</v>
      </c>
      <c r="FH137" s="277"/>
      <c r="FI137" s="310">
        <f t="shared" ref="FI137:FJ137" si="62">SUM(FI103:FI136)</f>
        <v>15708.455187175239</v>
      </c>
      <c r="FJ137" s="310">
        <f t="shared" si="62"/>
        <v>41.571387688340714</v>
      </c>
      <c r="FP137" s="277"/>
      <c r="FQ137" s="310"/>
      <c r="FR137" s="310"/>
    </row>
    <row r="138" spans="1:174">
      <c r="EQ138" s="310">
        <f>SUM(EQ103:EQ137)</f>
        <v>17849.79098643878</v>
      </c>
      <c r="ER138" s="310">
        <f>SUM(ER103:ER137)</f>
        <v>47.238291252147818</v>
      </c>
      <c r="EV138" s="432">
        <f>기준년도설정!B1</f>
        <v>2040</v>
      </c>
      <c r="EY138" s="310">
        <f>SUM(EY103:EY136)</f>
        <v>15708.455187175239</v>
      </c>
      <c r="EZ138" s="310">
        <f>SUM(EZ103:EZ136)</f>
        <v>41.571387688340714</v>
      </c>
      <c r="FH138" s="277"/>
    </row>
    <row r="139" spans="1:174">
      <c r="FA139" s="277"/>
    </row>
    <row r="140" spans="1:174">
      <c r="FA140" s="277"/>
    </row>
    <row r="141" spans="1:174">
      <c r="FA141" s="277"/>
    </row>
    <row r="142" spans="1:174" s="227" customFormat="1" ht="19.5">
      <c r="A142" s="329">
        <v>2025</v>
      </c>
      <c r="B142" s="282"/>
      <c r="C142" s="283"/>
      <c r="D142" s="284"/>
      <c r="E142" s="284"/>
      <c r="F142" s="284"/>
      <c r="G142" s="284"/>
      <c r="H142" s="284"/>
      <c r="I142" s="284"/>
      <c r="K142" s="282"/>
      <c r="L142" s="282"/>
      <c r="M142" s="283"/>
      <c r="N142" s="284"/>
      <c r="O142" s="284"/>
      <c r="P142" s="284"/>
      <c r="Q142" s="284"/>
      <c r="R142" s="284"/>
      <c r="S142" s="284"/>
    </row>
    <row r="143" spans="1:174" ht="23.5" thickBot="1">
      <c r="A143" s="32" t="s">
        <v>641</v>
      </c>
      <c r="C143" t="s">
        <v>463</v>
      </c>
      <c r="D143" t="s">
        <v>467</v>
      </c>
      <c r="E143" t="s">
        <v>470</v>
      </c>
      <c r="F143" t="s">
        <v>465</v>
      </c>
      <c r="G143" t="s">
        <v>466</v>
      </c>
      <c r="H143" t="s">
        <v>21</v>
      </c>
      <c r="K143" s="32" t="s">
        <v>471</v>
      </c>
      <c r="CV143" s="32" t="s">
        <v>492</v>
      </c>
      <c r="CY143" t="s">
        <v>478</v>
      </c>
      <c r="CZ143" t="s">
        <v>479</v>
      </c>
      <c r="ET143" s="353" t="s">
        <v>862</v>
      </c>
      <c r="FL143" s="353"/>
    </row>
    <row r="144" spans="1:174">
      <c r="A144" t="s">
        <v>462</v>
      </c>
      <c r="C144" t="s">
        <v>427</v>
      </c>
      <c r="D144" t="s">
        <v>428</v>
      </c>
      <c r="E144" t="s">
        <v>429</v>
      </c>
      <c r="F144" t="s">
        <v>430</v>
      </c>
      <c r="G144" t="s">
        <v>431</v>
      </c>
      <c r="H144" t="s">
        <v>457</v>
      </c>
      <c r="K144" s="159" t="s">
        <v>482</v>
      </c>
      <c r="L144" s="159"/>
      <c r="M144" s="443" t="s">
        <v>463</v>
      </c>
      <c r="N144" s="444"/>
      <c r="O144" s="444"/>
      <c r="P144" s="444"/>
      <c r="Q144" s="444"/>
      <c r="R144" s="444"/>
      <c r="S144" s="444"/>
      <c r="T144" s="444"/>
      <c r="U144" s="444"/>
      <c r="V144" s="444"/>
      <c r="W144" s="444"/>
      <c r="X144" s="444"/>
      <c r="Y144" s="444"/>
      <c r="Z144" s="445"/>
      <c r="AA144" s="443" t="s">
        <v>467</v>
      </c>
      <c r="AB144" s="444"/>
      <c r="AC144" s="444"/>
      <c r="AD144" s="444"/>
      <c r="AE144" s="444"/>
      <c r="AF144" s="444"/>
      <c r="AG144" s="444"/>
      <c r="AH144" s="444"/>
      <c r="AI144" s="444"/>
      <c r="AJ144" s="444"/>
      <c r="AK144" s="444"/>
      <c r="AL144" s="444"/>
      <c r="AM144" s="444"/>
      <c r="AN144" s="445"/>
      <c r="AO144" s="443" t="s">
        <v>464</v>
      </c>
      <c r="AP144" s="444"/>
      <c r="AQ144" s="444"/>
      <c r="AR144" s="444"/>
      <c r="AS144" s="444"/>
      <c r="AT144" s="444"/>
      <c r="AU144" s="444"/>
      <c r="AV144" s="444"/>
      <c r="AW144" s="444"/>
      <c r="AX144" s="444"/>
      <c r="AY144" s="444"/>
      <c r="AZ144" s="444"/>
      <c r="BA144" s="444"/>
      <c r="BB144" s="445"/>
      <c r="BC144" s="443" t="s">
        <v>465</v>
      </c>
      <c r="BD144" s="444"/>
      <c r="BE144" s="444"/>
      <c r="BF144" s="444"/>
      <c r="BG144" s="444"/>
      <c r="BH144" s="444"/>
      <c r="BI144" s="444"/>
      <c r="BJ144" s="444"/>
      <c r="BK144" s="444"/>
      <c r="BL144" s="444"/>
      <c r="BM144" s="444"/>
      <c r="BN144" s="444"/>
      <c r="BO144" s="444"/>
      <c r="BP144" s="445"/>
      <c r="BQ144" s="443" t="s">
        <v>466</v>
      </c>
      <c r="BR144" s="444"/>
      <c r="BS144" s="444"/>
      <c r="BT144" s="444"/>
      <c r="BU144" s="444"/>
      <c r="BV144" s="444"/>
      <c r="BW144" s="444"/>
      <c r="BX144" s="444"/>
      <c r="BY144" s="444"/>
      <c r="BZ144" s="444"/>
      <c r="CA144" s="444"/>
      <c r="CB144" s="444"/>
      <c r="CC144" s="444"/>
      <c r="CD144" s="445"/>
      <c r="CE144" s="443" t="s">
        <v>21</v>
      </c>
      <c r="CF144" s="444"/>
      <c r="CG144" s="444"/>
      <c r="CH144" s="444"/>
      <c r="CI144" s="444"/>
      <c r="CJ144" s="444"/>
      <c r="CK144" s="444"/>
      <c r="CL144" s="444"/>
      <c r="CM144" s="444"/>
      <c r="CN144" s="444"/>
      <c r="CO144" s="444"/>
      <c r="CP144" s="444"/>
      <c r="CQ144" s="444"/>
      <c r="CR144" s="445"/>
      <c r="CV144" s="263" t="s">
        <v>482</v>
      </c>
      <c r="CW144" s="263"/>
      <c r="CX144" s="446" t="s">
        <v>554</v>
      </c>
      <c r="CY144" s="439"/>
      <c r="CZ144" s="439"/>
      <c r="DA144" s="440"/>
      <c r="DB144" s="438" t="s">
        <v>553</v>
      </c>
      <c r="DC144" s="439"/>
      <c r="DD144" s="439"/>
      <c r="DE144" s="440"/>
      <c r="DF144" s="438" t="s">
        <v>464</v>
      </c>
      <c r="DG144" s="439"/>
      <c r="DH144" s="439"/>
      <c r="DI144" s="440"/>
      <c r="DJ144" s="438" t="s">
        <v>465</v>
      </c>
      <c r="DK144" s="439"/>
      <c r="DL144" s="439"/>
      <c r="DM144" s="440"/>
      <c r="DN144" s="438" t="s">
        <v>466</v>
      </c>
      <c r="DO144" s="439"/>
      <c r="DP144" s="439"/>
      <c r="DQ144" s="440"/>
      <c r="DR144" s="438" t="s">
        <v>21</v>
      </c>
      <c r="DS144" s="439"/>
      <c r="DT144" s="439"/>
      <c r="DU144" s="441"/>
      <c r="DW144" s="278"/>
      <c r="DX144" s="278"/>
      <c r="DY144" s="442" t="s">
        <v>588</v>
      </c>
      <c r="DZ144" s="442"/>
      <c r="EB144" s="278"/>
      <c r="EC144" s="278"/>
      <c r="ED144" s="442" t="s">
        <v>588</v>
      </c>
      <c r="EE144" s="442"/>
      <c r="EI144" t="s">
        <v>599</v>
      </c>
    </row>
    <row r="145" spans="1:174">
      <c r="A145" s="199"/>
      <c r="B145" s="199"/>
      <c r="C145" s="202" t="s">
        <v>463</v>
      </c>
      <c r="D145" s="202" t="s">
        <v>467</v>
      </c>
      <c r="E145" s="202" t="s">
        <v>464</v>
      </c>
      <c r="F145" s="202" t="s">
        <v>465</v>
      </c>
      <c r="G145" s="202" t="s">
        <v>678</v>
      </c>
      <c r="H145" s="202" t="s">
        <v>21</v>
      </c>
      <c r="K145" s="159"/>
      <c r="L145" s="159"/>
      <c r="M145" s="211" t="s">
        <v>472</v>
      </c>
      <c r="N145" s="160" t="s">
        <v>156</v>
      </c>
      <c r="O145" s="160" t="s">
        <v>475</v>
      </c>
      <c r="P145" s="160" t="s">
        <v>476</v>
      </c>
      <c r="Q145" s="160" t="s">
        <v>477</v>
      </c>
      <c r="R145" s="160" t="s">
        <v>478</v>
      </c>
      <c r="S145" s="160" t="s">
        <v>479</v>
      </c>
      <c r="T145" s="160" t="s">
        <v>480</v>
      </c>
      <c r="U145" s="160" t="s">
        <v>449</v>
      </c>
      <c r="V145" s="160" t="s">
        <v>157</v>
      </c>
      <c r="W145" s="160" t="s">
        <v>473</v>
      </c>
      <c r="X145" s="160" t="s">
        <v>474</v>
      </c>
      <c r="Y145" s="160" t="s">
        <v>46</v>
      </c>
      <c r="Z145" s="212" t="s">
        <v>11</v>
      </c>
      <c r="AA145" s="211" t="s">
        <v>472</v>
      </c>
      <c r="AB145" s="160" t="s">
        <v>156</v>
      </c>
      <c r="AC145" s="160" t="s">
        <v>475</v>
      </c>
      <c r="AD145" s="160" t="s">
        <v>476</v>
      </c>
      <c r="AE145" s="160" t="s">
        <v>477</v>
      </c>
      <c r="AF145" s="160" t="s">
        <v>478</v>
      </c>
      <c r="AG145" s="160" t="s">
        <v>479</v>
      </c>
      <c r="AH145" s="160" t="s">
        <v>480</v>
      </c>
      <c r="AI145" s="160" t="s">
        <v>449</v>
      </c>
      <c r="AJ145" s="160" t="s">
        <v>157</v>
      </c>
      <c r="AK145" s="160" t="s">
        <v>473</v>
      </c>
      <c r="AL145" s="160" t="s">
        <v>474</v>
      </c>
      <c r="AM145" s="160" t="s">
        <v>46</v>
      </c>
      <c r="AN145" s="212" t="s">
        <v>11</v>
      </c>
      <c r="AO145" s="211" t="s">
        <v>472</v>
      </c>
      <c r="AP145" s="160" t="s">
        <v>156</v>
      </c>
      <c r="AQ145" s="160" t="s">
        <v>475</v>
      </c>
      <c r="AR145" s="160" t="s">
        <v>476</v>
      </c>
      <c r="AS145" s="160" t="s">
        <v>477</v>
      </c>
      <c r="AT145" s="160" t="s">
        <v>478</v>
      </c>
      <c r="AU145" s="160" t="s">
        <v>479</v>
      </c>
      <c r="AV145" s="160" t="s">
        <v>480</v>
      </c>
      <c r="AW145" s="160" t="s">
        <v>449</v>
      </c>
      <c r="AX145" s="160" t="s">
        <v>157</v>
      </c>
      <c r="AY145" s="160" t="s">
        <v>473</v>
      </c>
      <c r="AZ145" s="160" t="s">
        <v>474</v>
      </c>
      <c r="BA145" s="160" t="s">
        <v>46</v>
      </c>
      <c r="BB145" s="212" t="s">
        <v>11</v>
      </c>
      <c r="BC145" s="211" t="s">
        <v>472</v>
      </c>
      <c r="BD145" s="160" t="s">
        <v>156</v>
      </c>
      <c r="BE145" s="160" t="s">
        <v>475</v>
      </c>
      <c r="BF145" s="160" t="s">
        <v>476</v>
      </c>
      <c r="BG145" s="160" t="s">
        <v>477</v>
      </c>
      <c r="BH145" s="160" t="s">
        <v>478</v>
      </c>
      <c r="BI145" s="160" t="s">
        <v>479</v>
      </c>
      <c r="BJ145" s="160" t="s">
        <v>480</v>
      </c>
      <c r="BK145" s="160" t="s">
        <v>449</v>
      </c>
      <c r="BL145" s="160" t="s">
        <v>157</v>
      </c>
      <c r="BM145" s="160" t="s">
        <v>473</v>
      </c>
      <c r="BN145" s="160" t="s">
        <v>474</v>
      </c>
      <c r="BO145" s="160" t="s">
        <v>46</v>
      </c>
      <c r="BP145" s="212" t="s">
        <v>11</v>
      </c>
      <c r="BQ145" s="211" t="s">
        <v>472</v>
      </c>
      <c r="BR145" s="160" t="s">
        <v>156</v>
      </c>
      <c r="BS145" s="160" t="s">
        <v>475</v>
      </c>
      <c r="BT145" s="160" t="s">
        <v>476</v>
      </c>
      <c r="BU145" s="160" t="s">
        <v>477</v>
      </c>
      <c r="BV145" s="160" t="s">
        <v>478</v>
      </c>
      <c r="BW145" s="160" t="s">
        <v>479</v>
      </c>
      <c r="BX145" s="160" t="s">
        <v>480</v>
      </c>
      <c r="BY145" s="160" t="s">
        <v>449</v>
      </c>
      <c r="BZ145" s="160" t="s">
        <v>157</v>
      </c>
      <c r="CA145" s="160" t="s">
        <v>473</v>
      </c>
      <c r="CB145" s="160" t="s">
        <v>474</v>
      </c>
      <c r="CC145" s="160" t="s">
        <v>46</v>
      </c>
      <c r="CD145" s="212" t="s">
        <v>11</v>
      </c>
      <c r="CE145" s="211" t="s">
        <v>472</v>
      </c>
      <c r="CF145" s="160" t="s">
        <v>156</v>
      </c>
      <c r="CG145" s="160" t="s">
        <v>475</v>
      </c>
      <c r="CH145" s="160" t="s">
        <v>476</v>
      </c>
      <c r="CI145" s="160" t="s">
        <v>477</v>
      </c>
      <c r="CJ145" s="160" t="s">
        <v>478</v>
      </c>
      <c r="CK145" s="160" t="s">
        <v>479</v>
      </c>
      <c r="CL145" s="160" t="s">
        <v>480</v>
      </c>
      <c r="CM145" s="160" t="s">
        <v>449</v>
      </c>
      <c r="CN145" s="160" t="s">
        <v>157</v>
      </c>
      <c r="CO145" s="160" t="s">
        <v>473</v>
      </c>
      <c r="CP145" s="160" t="s">
        <v>474</v>
      </c>
      <c r="CQ145" s="160" t="s">
        <v>46</v>
      </c>
      <c r="CR145" s="212" t="s">
        <v>11</v>
      </c>
      <c r="CV145" s="263"/>
      <c r="CW145" s="263"/>
      <c r="CX145" s="264" t="s">
        <v>156</v>
      </c>
      <c r="CY145" s="264" t="s">
        <v>478</v>
      </c>
      <c r="CZ145" s="264" t="s">
        <v>479</v>
      </c>
      <c r="DA145" s="264" t="s">
        <v>157</v>
      </c>
      <c r="DB145" s="264" t="s">
        <v>156</v>
      </c>
      <c r="DC145" s="264" t="s">
        <v>478</v>
      </c>
      <c r="DD145" s="264" t="s">
        <v>479</v>
      </c>
      <c r="DE145" s="264" t="s">
        <v>157</v>
      </c>
      <c r="DF145" s="264" t="s">
        <v>156</v>
      </c>
      <c r="DG145" s="264" t="s">
        <v>478</v>
      </c>
      <c r="DH145" s="264" t="s">
        <v>479</v>
      </c>
      <c r="DI145" s="264" t="s">
        <v>157</v>
      </c>
      <c r="DJ145" s="264" t="s">
        <v>156</v>
      </c>
      <c r="DK145" s="264" t="s">
        <v>478</v>
      </c>
      <c r="DL145" s="264" t="s">
        <v>479</v>
      </c>
      <c r="DM145" s="264" t="s">
        <v>157</v>
      </c>
      <c r="DN145" s="264" t="s">
        <v>156</v>
      </c>
      <c r="DO145" s="264" t="s">
        <v>478</v>
      </c>
      <c r="DP145" s="264" t="s">
        <v>479</v>
      </c>
      <c r="DQ145" s="264" t="s">
        <v>157</v>
      </c>
      <c r="DR145" s="264" t="s">
        <v>156</v>
      </c>
      <c r="DS145" s="264" t="s">
        <v>478</v>
      </c>
      <c r="DT145" s="264" t="s">
        <v>479</v>
      </c>
      <c r="DU145" s="264" t="s">
        <v>157</v>
      </c>
      <c r="DW145" s="278"/>
      <c r="DX145" s="278"/>
      <c r="DY145" s="280" t="s">
        <v>585</v>
      </c>
      <c r="DZ145" s="280" t="s">
        <v>259</v>
      </c>
      <c r="EB145" s="278"/>
      <c r="EC145" s="278"/>
      <c r="ED145" s="280" t="s">
        <v>585</v>
      </c>
      <c r="EE145" s="280" t="s">
        <v>259</v>
      </c>
      <c r="EL145" s="306" t="s">
        <v>564</v>
      </c>
      <c r="EM145" s="306" t="s">
        <v>565</v>
      </c>
      <c r="EN145" s="306" t="s">
        <v>566</v>
      </c>
      <c r="EO145" s="306" t="s">
        <v>562</v>
      </c>
      <c r="EP145" s="307" t="s">
        <v>597</v>
      </c>
      <c r="EQ145" s="307" t="s">
        <v>585</v>
      </c>
      <c r="ER145" s="307" t="s">
        <v>259</v>
      </c>
      <c r="ET145" s="420" t="s">
        <v>564</v>
      </c>
      <c r="EU145" s="420" t="s">
        <v>565</v>
      </c>
      <c r="EV145" s="420" t="s">
        <v>566</v>
      </c>
      <c r="EW145" s="420" t="s">
        <v>562</v>
      </c>
      <c r="EX145" s="421" t="s">
        <v>597</v>
      </c>
      <c r="EY145" s="421" t="s">
        <v>585</v>
      </c>
      <c r="EZ145" s="421" t="s">
        <v>259</v>
      </c>
      <c r="FA145" s="424" t="s">
        <v>865</v>
      </c>
      <c r="FD145" s="306" t="s">
        <v>564</v>
      </c>
      <c r="FE145" s="306" t="s">
        <v>565</v>
      </c>
      <c r="FF145" s="306" t="s">
        <v>566</v>
      </c>
      <c r="FG145" s="306" t="s">
        <v>562</v>
      </c>
      <c r="FH145" s="307" t="s">
        <v>597</v>
      </c>
      <c r="FI145" s="307" t="s">
        <v>585</v>
      </c>
      <c r="FJ145" s="307" t="s">
        <v>259</v>
      </c>
      <c r="FL145" s="101"/>
      <c r="FM145" s="101"/>
      <c r="FN145" s="101"/>
      <c r="FO145" s="101"/>
      <c r="FP145" s="374"/>
      <c r="FQ145" s="374"/>
      <c r="FR145" s="374"/>
    </row>
    <row r="146" spans="1:174">
      <c r="A146" s="205"/>
      <c r="B146" s="205" t="s">
        <v>12</v>
      </c>
      <c r="C146" s="400">
        <f>$AB61*KTDB_TripDistribution_2040!T$12 * (1+KTDB_발생량도착량_증가율!$C$7*2) * (1+KTDB_발생량도착량_증가율!$D$8*5)* (1+KTDB_발생량도착량_증가율!$E$8*5)* (1+KTDB_발생량도착량_증가율!$F$8*5)</f>
        <v>62.51056982577915</v>
      </c>
      <c r="D146" s="400">
        <f>$AB61*KTDB_TripDistribution_2040!U$12 * (1+KTDB_발생량도착량_증가율!$C$7*2) * (1+KTDB_발생량도착량_증가율!$D$8*5)* (1+KTDB_발생량도착량_증가율!$E$8*5)* (1+KTDB_발생량도착량_증가율!$F$8*5)</f>
        <v>452.4017823479445</v>
      </c>
      <c r="E146" s="400">
        <f>$AB61*KTDB_TripDistribution_2040!V$12 * (1+KTDB_발생량도착량_증가율!$C$7*2) * (1+KTDB_발생량도착량_증가율!$D$8*5)* (1+KTDB_발생량도착량_증가율!$E$8*5)* (1+KTDB_발생량도착량_증가율!$F$8*5)</f>
        <v>25.95317046485706</v>
      </c>
      <c r="F146" s="400">
        <f>$AB61*KTDB_TripDistribution_2040!W$12 * (1+KTDB_발생량도착량_증가율!$C$7*2) * (1+KTDB_발생량도착량_증가율!$D$8*5)* (1+KTDB_발생량도착량_증가율!$E$8*5)* (1+KTDB_발생량도착량_증가율!$F$8*5)</f>
        <v>4.078549575409713E-2</v>
      </c>
      <c r="G146" s="400">
        <f>$AB61*KTDB_TripDistribution_2040!X$12 * (1+KTDB_발생량도착량_증가율!$C$7*2) * (1+KTDB_발생량도착량_증가율!$D$8*5)* (1+KTDB_발생량도착량_증가율!$E$8*5)* (1+KTDB_발생량도착량_증가율!$F$8*5)</f>
        <v>0.15407853951547751</v>
      </c>
      <c r="H146" s="400">
        <f>$AB61*KTDB_TripDistribution_2040!Y$12 * (1+KTDB_발생량도착량_증가율!$C$7*2) * (1+KTDB_발생량도착량_증가율!$D$8*5)* (1+KTDB_발생량도착량_증가율!$E$8*5)* (1+KTDB_발생량도착량_증가율!$F$8*5)</f>
        <v>541.06038667385042</v>
      </c>
      <c r="J146" s="230">
        <f t="shared" ref="J146:J150" si="63">CR146</f>
        <v>541.0603866738503</v>
      </c>
      <c r="K146" s="206"/>
      <c r="L146" s="206" t="s">
        <v>12</v>
      </c>
      <c r="M146" s="206">
        <f>INDEX($A$145:$H$158,MATCH($L146,$B$145:$B$158,0),MATCH($M$144,$A$145:$H$145,0))*고양시_Modal_split!C$3 * 0.01</f>
        <v>0.17502959551218161</v>
      </c>
      <c r="N146" s="206">
        <f>INDEX($A$145:$H$158,MATCH($L146,$B$145:$B$158,0),MATCH($M$144,$A$145:$H$145,0))*고양시_Modal_split!D$3 * 0.01</f>
        <v>29.398720989063936</v>
      </c>
      <c r="O146" s="206">
        <f>INDEX($A$145:$H$158,MATCH($L146,$B$145:$B$158,0),MATCH($M$144,$A$145:$H$145,0))*고양시_Modal_split!E$3 * 0.01</f>
        <v>3.5568514230868336</v>
      </c>
      <c r="P146" s="206">
        <f>INDEX($A$145:$H$158,MATCH($L146,$B$145:$B$158,0),MATCH($M$144,$A$145:$H$145,0))*고양시_Modal_split!F$3 * 0.01</f>
        <v>5.7322192530239482</v>
      </c>
      <c r="Q146" s="206">
        <f>INDEX($A$145:$H$158,MATCH($L146,$B$145:$B$158,0),MATCH($M$144,$A$145:$H$145,0))*고양시_Modal_split!G$3 * 0.01</f>
        <v>0.57509724239716808</v>
      </c>
      <c r="R146" s="206">
        <f>INDEX($A$145:$H$158,MATCH($L146,$B$145:$B$158,0),MATCH($M$144,$A$145:$H$145,0))*고양시_Modal_split!H$3 * 0.01</f>
        <v>6.2510569825779154E-3</v>
      </c>
      <c r="S146" s="206">
        <f>INDEX($A$145:$H$158,MATCH($L146,$B$145:$B$158,0),MATCH($M$144,$A$145:$H$145,0))*고양시_Modal_split!I$3 * 0.01</f>
        <v>1.7377938411566605</v>
      </c>
      <c r="T146" s="206">
        <f>INDEX($A$145:$H$158,MATCH($L146,$B$145:$B$158,0),MATCH($M$144,$A$145:$H$145,0))*고양시_Modal_split!J$3 * 0.01</f>
        <v>19.028217454967173</v>
      </c>
      <c r="U146" s="206">
        <f>INDEX($A$145:$H$158,MATCH($L146,$B$145:$B$158,0),MATCH($M$144,$A$145:$H$145,0))*고양시_Modal_split!K$3 * 0.01</f>
        <v>9.3765854738668719E-2</v>
      </c>
      <c r="V146" s="206">
        <f>INDEX($A$145:$H$158,MATCH($L146,$B$145:$B$158,0),MATCH($M$144,$A$145:$H$145,0))*고양시_Modal_split!L$3 * 0.01</f>
        <v>1.8878192087385304</v>
      </c>
      <c r="W146" s="206">
        <f>INDEX($A$145:$H$158,MATCH($L146,$B$145:$B$158,0),MATCH($M$144,$A$145:$H$145,0))*고양시_Modal_split!M$3 * 0.01</f>
        <v>0.14377431059929202</v>
      </c>
      <c r="X146" s="206">
        <f>INDEX($A$145:$H$158,MATCH($L146,$B$145:$B$158,0),MATCH($M$144,$A$145:$H$145,0))*고양시_Modal_split!N$3 * 0.01</f>
        <v>6.2510569825779155E-2</v>
      </c>
      <c r="Y146" s="206">
        <f>INDEX($A$145:$H$158,MATCH($L146,$B$145:$B$158,0),MATCH($M$144,$A$145:$H$145,0))*고양시_Modal_split!O$3 * 0.01</f>
        <v>0.11251902568640247</v>
      </c>
      <c r="Z146" s="209">
        <f>INDEX($A$145:$H$158,MATCH($L146,$B$145:$B$158,0),MATCH($M$144,$A$145:$H$145,0))*고양시_Modal_split!P$3 * 0.01</f>
        <v>62.51056982577915</v>
      </c>
      <c r="AA146" s="207">
        <f>INDEX($A$145:$H$158,MATCH($L146,$B$145:$B$158,0),MATCH($AA$144,$A$145:$H$145,0))*고양시_Modal_split!C$3 * 0.01</f>
        <v>1.2667249905742446</v>
      </c>
      <c r="AB146" s="207">
        <f>INDEX($A$145:$H$158,MATCH($L146,$B$145:$B$158,0),MATCH($AA$144,$A$145:$H$145,0))*고양시_Modal_split!D$3 * 0.01</f>
        <v>212.76455823823832</v>
      </c>
      <c r="AC146" s="207">
        <f>INDEX($A$145:$H$158,MATCH($L146,$B$145:$B$158,0),MATCH($AA$144,$A$145:$H$145,0))*고양시_Modal_split!E$3 * 0.01</f>
        <v>25.741661415598042</v>
      </c>
      <c r="AD146" s="207">
        <f>INDEX($A$145:$H$158,MATCH($L146,$B$145:$B$158,0),MATCH($AA$144,$A$145:$H$145,0))*고양시_Modal_split!F$3 * 0.01</f>
        <v>41.485243441306515</v>
      </c>
      <c r="AE146" s="207">
        <f>INDEX($A$145:$H$158,MATCH($L146,$B$145:$B$158,0),MATCH($AA$144,$A$145:$H$145,0))*고양시_Modal_split!G$3 * 0.01</f>
        <v>4.162096397601089</v>
      </c>
      <c r="AF146" s="207">
        <f>INDEX($A$145:$H$158,MATCH($L146,$B$145:$B$158,0),MATCH($AA$144,$A$145:$H$145,0))*고양시_Modal_split!H$3 * 0.01</f>
        <v>4.5240178234794454E-2</v>
      </c>
      <c r="AG146" s="207">
        <f>INDEX($A$145:$H$158,MATCH($L146,$B$145:$B$158,0),MATCH($AA$144,$A$145:$H$145,0))*고양시_Modal_split!I$3 * 0.01</f>
        <v>12.576769549272855</v>
      </c>
      <c r="AH146" s="207">
        <f>INDEX($A$145:$H$158,MATCH($L146,$B$145:$B$158,0),MATCH($AA$144,$A$145:$H$145,0))*고양시_Modal_split!J$3 * 0.01</f>
        <v>137.71110254671433</v>
      </c>
      <c r="AI146" s="207">
        <f>INDEX($A$145:$H$158,MATCH($L146,$B$145:$B$158,0),MATCH($AA$144,$A$145:$H$145,0))*고양시_Modal_split!K$3 * 0.01</f>
        <v>0.67860267352191672</v>
      </c>
      <c r="AJ146" s="207">
        <f>INDEX($A$145:$H$158,MATCH($L146,$B$145:$B$158,0),MATCH($AA$144,$A$145:$H$145,0))*고양시_Modal_split!L$3 * 0.01</f>
        <v>13.662533826907925</v>
      </c>
      <c r="AK146" s="207">
        <f>INDEX($A$145:$H$158,MATCH($L146,$B$145:$B$158,0),MATCH($AA$144,$A$145:$H$145,0))*고양시_Modal_split!M$3 * 0.01</f>
        <v>1.0405240994002722</v>
      </c>
      <c r="AL146" s="207">
        <f>INDEX($A$145:$H$158,MATCH($L146,$B$145:$B$158,0),MATCH($AA$144,$A$145:$H$145,0))*고양시_Modal_split!N$3 * 0.01</f>
        <v>0.45240178234794459</v>
      </c>
      <c r="AM146" s="207">
        <f>INDEX($A$145:$H$158,MATCH($L146,$B$145:$B$158,0),MATCH($AA$144,$A$145:$H$145,0))*고양시_Modal_split!O$3 * 0.01</f>
        <v>0.81432320822630011</v>
      </c>
      <c r="AN146" s="207">
        <f>INDEX($A$145:$H$158,MATCH($L146,$B$145:$B$158,0),MATCH($AA$144,$A$145:$H$145,0))*고양시_Modal_split!P$3 * 0.01</f>
        <v>452.40178234794456</v>
      </c>
      <c r="AO146" s="303">
        <f>INDEX($A$145:$H$158,MATCH($L146,$B$145:$B$158,0),MATCH($AO$144,$A$145:$H$145,0))*고양시_Modal_split!C$3 * 0.01</f>
        <v>7.2668877301599752E-2</v>
      </c>
      <c r="AP146" s="303">
        <f>INDEX($A$145:$H$158,MATCH($L146,$B$145:$B$158,0),MATCH($AO$144,$A$145:$H$145,0))*고양시_Modal_split!D$3 * 0.01</f>
        <v>12.205776069622274</v>
      </c>
      <c r="AQ146" s="303">
        <f>INDEX($A$145:$H$158,MATCH($L146,$B$145:$B$158,0),MATCH($AO$144,$A$145:$H$145,0))*고양시_Modal_split!E$3 * 0.01</f>
        <v>1.4767353994503665</v>
      </c>
      <c r="AR146" s="303">
        <f>INDEX($A$145:$H$158,MATCH($L146,$B$145:$B$158,0),MATCH($AO$144,$A$145:$H$145,0))*고양시_Modal_split!F$3 * 0.01</f>
        <v>2.3799057316273924</v>
      </c>
      <c r="AS146" s="303">
        <f>INDEX($A$145:$H$158,MATCH($L146,$B$145:$B$158,0),MATCH($AO$144,$A$145:$H$145,0))*고양시_Modal_split!G$3 * 0.01</f>
        <v>0.23876916827668493</v>
      </c>
      <c r="AT146" s="303">
        <f>INDEX($A$145:$H$158,MATCH($L146,$B$145:$B$158,0),MATCH($AO$144,$A$145:$H$145,0))*고양시_Modal_split!H$3 * 0.01</f>
        <v>2.5953170464857061E-3</v>
      </c>
      <c r="AU146" s="303">
        <f>INDEX($A$145:$H$158,MATCH($L146,$B$145:$B$158,0),MATCH($AO$144,$A$145:$H$145,0))*고양시_Modal_split!I$3 * 0.01</f>
        <v>0.72149813892302617</v>
      </c>
      <c r="AV146" s="303">
        <f>INDEX($A$145:$H$158,MATCH($L146,$B$145:$B$158,0),MATCH($AO$144,$A$145:$H$145,0))*고양시_Modal_split!J$3 * 0.01</f>
        <v>7.9001450895024892</v>
      </c>
      <c r="AW146" s="303">
        <f>INDEX($A$145:$H$158,MATCH($L146,$B$145:$B$158,0),MATCH($AO$144,$A$145:$H$145,0))*고양시_Modal_split!K$3 * 0.01</f>
        <v>3.8929755697285587E-2</v>
      </c>
      <c r="AX146" s="303">
        <f>INDEX($A$145:$H$158,MATCH($L146,$B$145:$B$158,0),MATCH($AO$144,$A$145:$H$145,0))*고양시_Modal_split!L$3 * 0.01</f>
        <v>0.78378574803868317</v>
      </c>
      <c r="AY146" s="303">
        <f>INDEX($A$145:$H$158,MATCH($L146,$B$145:$B$158,0),MATCH($AO$144,$A$145:$H$145,0))*고양시_Modal_split!M$3 * 0.01</f>
        <v>5.9692292069171232E-2</v>
      </c>
      <c r="AZ146" s="303">
        <f>INDEX($A$145:$H$158,MATCH($L146,$B$145:$B$158,0),MATCH($AO$144,$A$145:$H$145,0))*고양시_Modal_split!N$3 * 0.01</f>
        <v>2.595317046485706E-2</v>
      </c>
      <c r="BA146" s="207">
        <f>INDEX($A$145:$H$158,MATCH($L146,$B$145:$B$158,0),MATCH($AO$144,$A$145:$H$145,0))*고양시_Modal_split!O$3 * 0.01</f>
        <v>4.6715706836742713E-2</v>
      </c>
      <c r="BB146" s="207">
        <f>INDEX($A$145:$H$158,MATCH($L146,$B$145:$B$158,0),MATCH($AO$144,$A$145:$H$145,0))*고양시_Modal_split!P$3 * 0.01</f>
        <v>25.95317046485706</v>
      </c>
      <c r="BC146" s="207">
        <f>INDEX($A$145:$H$158,MATCH($L146,$B$145:$B$158,0),MATCH($BC$144,$A$145:$H$145,0))*고양시_Modal_split!C$3 * 0.01</f>
        <v>1.1419938811147195E-4</v>
      </c>
      <c r="BD146" s="207">
        <f>INDEX($A$145:$H$158,MATCH($L146,$B$145:$B$158,0),MATCH($BC$144,$A$145:$H$145,0))*고양시_Modal_split!D$3 * 0.01</f>
        <v>1.9181418653151882E-2</v>
      </c>
      <c r="BE146" s="207">
        <f>INDEX($A$145:$H$158,MATCH($L146,$B$145:$B$158,0),MATCH($BC$144,$A$145:$H$145,0))*고양시_Modal_split!E$3 * 0.01</f>
        <v>2.3206947084081263E-3</v>
      </c>
      <c r="BF146" s="207">
        <f>INDEX($A$145:$H$158,MATCH($L146,$B$145:$B$158,0),MATCH($BC$144,$A$145:$H$145,0))*고양시_Modal_split!F$3 * 0.01</f>
        <v>3.7400299606507072E-3</v>
      </c>
      <c r="BG146" s="207">
        <f>INDEX($A$145:$H$158,MATCH($L146,$B$145:$B$158,0),MATCH($BC$144,$A$145:$H$145,0))*고양시_Modal_split!G$3 * 0.01</f>
        <v>3.7522656093769358E-4</v>
      </c>
      <c r="BH146" s="207">
        <f>INDEX($A$145:$H$158,MATCH($L146,$B$145:$B$158,0),MATCH($BC$144,$A$145:$H$145,0))*고양시_Modal_split!H$3 * 0.01</f>
        <v>4.0785495754097132E-6</v>
      </c>
      <c r="BI146" s="207">
        <f>INDEX($A$145:$H$158,MATCH($L146,$B$145:$B$158,0),MATCH($BC$144,$A$145:$H$145,0))*고양시_Modal_split!I$3 * 0.01</f>
        <v>1.1338367819639001E-3</v>
      </c>
      <c r="BJ146" s="207">
        <f>INDEX($A$145:$H$158,MATCH($L146,$B$145:$B$158,0),MATCH($BC$144,$A$145:$H$145,0))*고양시_Modal_split!J$3 * 0.01</f>
        <v>1.2415104907547167E-2</v>
      </c>
      <c r="BK146" s="207">
        <f>INDEX($A$145:$H$158,MATCH($L146,$B$145:$B$158,0),MATCH($BC$144,$A$145:$H$145,0))*고양시_Modal_split!K$3 * 0.01</f>
        <v>6.1178243631145697E-5</v>
      </c>
      <c r="BL146" s="207">
        <f>INDEX($A$145:$H$158,MATCH($L146,$B$145:$B$158,0),MATCH($BC$144,$A$145:$H$145,0))*고양시_Modal_split!L$3 * 0.01</f>
        <v>1.2317219717737334E-3</v>
      </c>
      <c r="BM146" s="207">
        <f>INDEX($A$145:$H$158,MATCH($L146,$B$145:$B$158,0),MATCH($BC$144,$A$145:$H$145,0))*고양시_Modal_split!M$3 * 0.01</f>
        <v>9.3806640234423395E-5</v>
      </c>
      <c r="BN146" s="207">
        <f>INDEX($A$145:$H$158,MATCH($L146,$B$145:$B$158,0),MATCH($BC$144,$A$145:$H$145,0))*고양시_Modal_split!N$3 * 0.01</f>
        <v>4.0785495754097127E-5</v>
      </c>
      <c r="BO146" s="207">
        <f>INDEX($A$145:$H$158,MATCH($L146,$B$145:$B$158,0),MATCH($BC$144,$A$145:$H$145,0))*고양시_Modal_split!O$3 * 0.01</f>
        <v>7.3413892357374825E-5</v>
      </c>
      <c r="BP146" s="207">
        <f>INDEX($A$145:$H$158,MATCH($L146,$B$145:$B$158,0),MATCH($BC$144,$A$145:$H$145,0))*고양시_Modal_split!P$3 * 0.01</f>
        <v>4.0785495754097137E-2</v>
      </c>
      <c r="BQ146" s="207">
        <f>INDEX($A$145:$H$158,MATCH($L146,$B$145:$B$158,0),MATCH($BQ$144,$A$145:$H$145,0))*고양시_Modal_split!C$3 * 0.01</f>
        <v>4.3141991064333694E-4</v>
      </c>
      <c r="BR146" s="207">
        <f>INDEX($A$145:$H$158,MATCH($L146,$B$145:$B$158,0),MATCH($BQ$144,$A$145:$H$145,0))*고양시_Modal_split!D$3 * 0.01</f>
        <v>7.246313713412908E-2</v>
      </c>
      <c r="BS146" s="207">
        <f>INDEX($A$145:$H$158,MATCH($L146,$B$145:$B$158,0),MATCH($BQ$144,$A$145:$H$145,0))*고양시_Modal_split!E$3 * 0.01</f>
        <v>8.7670688984306695E-3</v>
      </c>
      <c r="BT146" s="207">
        <f>INDEX($A$145:$H$158,MATCH($L146,$B$145:$B$158,0),MATCH($BQ$144,$A$145:$H$145,0))*고양시_Modal_split!F$3 * 0.01</f>
        <v>1.4129002073569288E-2</v>
      </c>
      <c r="BU146" s="207">
        <f>INDEX($A$145:$H$158,MATCH($L146,$B$145:$B$158,0),MATCH($BQ$144,$A$145:$H$145,0))*고양시_Modal_split!G$3 * 0.01</f>
        <v>1.4175225635423929E-3</v>
      </c>
      <c r="BV146" s="207">
        <f>INDEX($A$145:$H$158,MATCH($L146,$B$145:$B$158,0),MATCH($BQ$144,$A$145:$H$145,0))*고양시_Modal_split!H$3 * 0.01</f>
        <v>1.540785395154775E-5</v>
      </c>
      <c r="BW146" s="207">
        <f>INDEX($A$145:$H$158,MATCH($L146,$B$145:$B$158,0),MATCH($BQ$144,$A$145:$H$145,0))*고양시_Modal_split!I$3 * 0.01</f>
        <v>4.2833833985302747E-3</v>
      </c>
      <c r="BX146" s="207">
        <f>INDEX($A$145:$H$158,MATCH($L146,$B$145:$B$158,0),MATCH($BQ$144,$A$145:$H$145,0))*고양시_Modal_split!J$3 * 0.01</f>
        <v>4.6901507428511353E-2</v>
      </c>
      <c r="BY146" s="207">
        <f>INDEX($A$145:$H$158,MATCH($L146,$B$145:$B$158,0),MATCH($BQ$144,$A$145:$H$145,0))*고양시_Modal_split!K$3 * 0.01</f>
        <v>2.3111780927321623E-4</v>
      </c>
      <c r="BZ146" s="207">
        <f>INDEX($A$145:$H$158,MATCH($L146,$B$145:$B$158,0),MATCH($BQ$144,$A$145:$H$145,0))*고양시_Modal_split!L$3 * 0.01</f>
        <v>4.6531718933674211E-3</v>
      </c>
      <c r="CA146" s="207">
        <f>INDEX($A$145:$H$158,MATCH($L146,$B$145:$B$158,0),MATCH($BQ$144,$A$145:$H$145,0))*고양시_Modal_split!M$3 * 0.01</f>
        <v>3.5438064088559823E-4</v>
      </c>
      <c r="CB146" s="207">
        <f>INDEX($A$145:$H$158,MATCH($L146,$B$145:$B$158,0),MATCH($BQ$144,$A$145:$H$145,0))*고양시_Modal_split!N$3 * 0.01</f>
        <v>1.5407853951547752E-4</v>
      </c>
      <c r="CC146" s="207">
        <f>INDEX($A$145:$H$158,MATCH($L146,$B$145:$B$158,0),MATCH($BQ$144,$A$145:$H$145,0))*고양시_Modal_split!O$3 * 0.01</f>
        <v>2.7734137112785952E-4</v>
      </c>
      <c r="CD146" s="207">
        <f>INDEX($A$145:$H$158,MATCH($L146,$B$145:$B$158,0),MATCH($BQ$144,$A$145:$H$145,0))*고양시_Modal_split!P$3 * 0.01</f>
        <v>0.15407853951547751</v>
      </c>
      <c r="CE146" s="304">
        <f>M146+AA146+AO146+BC146+BQ146</f>
        <v>1.514969082686781</v>
      </c>
      <c r="CF146" s="304">
        <f t="shared" ref="CF146:CF158" si="64">N146+AB146+AP146+BD146+BR146</f>
        <v>254.46069985271183</v>
      </c>
      <c r="CG146" s="304">
        <f t="shared" ref="CG146:CG158" si="65">O146+AC146+AQ146+BE146+BS146</f>
        <v>30.786336001742079</v>
      </c>
      <c r="CH146" s="304">
        <f t="shared" ref="CH146:CH158" si="66">P146+AD146+AR146+BF146+BT146</f>
        <v>49.615237457992073</v>
      </c>
      <c r="CI146" s="304">
        <f t="shared" ref="CI146:CI158" si="67">Q146+AE146+AS146+BG146+BU146</f>
        <v>4.9777555573994219</v>
      </c>
      <c r="CJ146" s="304">
        <f t="shared" ref="CJ146:CJ158" si="68">R146+AF146+AT146+BH146+BV146</f>
        <v>5.4106038667385031E-2</v>
      </c>
      <c r="CK146" s="304">
        <f t="shared" ref="CK146:CK158" si="69">S146+AG146+AU146+BI146+BW146</f>
        <v>15.041478749533036</v>
      </c>
      <c r="CL146" s="304">
        <f t="shared" ref="CL146:CL158" si="70">T146+AH146+AV146+BJ146+BX146</f>
        <v>164.69878170352007</v>
      </c>
      <c r="CM146" s="304">
        <f t="shared" ref="CM146:CM158" si="71">U146+AI146+AW146+BK146+BY146</f>
        <v>0.81159058001077544</v>
      </c>
      <c r="CN146" s="304">
        <f t="shared" ref="CN146:CN158" si="72">V146+AJ146+AX146+BL146+BZ146</f>
        <v>16.340023677550278</v>
      </c>
      <c r="CO146" s="304">
        <f t="shared" ref="CO146:CO158" si="73">W146+AK146+AY146+BM146+CA146</f>
        <v>1.2444388893498555</v>
      </c>
      <c r="CP146" s="304">
        <f t="shared" ref="CP146:CP158" si="74">X146+AL146+AZ146+BN146+CB146</f>
        <v>0.54106038667385037</v>
      </c>
      <c r="CQ146" s="304">
        <f t="shared" ref="CQ146:CQ158" si="75">Y146+AM146+BA146+BO146+CC146</f>
        <v>0.97390869601293062</v>
      </c>
      <c r="CR146" s="304">
        <f t="shared" ref="CR146:CR158" si="76">Z146+AN146+BB146+BP146+CD146</f>
        <v>541.0603866738503</v>
      </c>
      <c r="CS146" s="305">
        <f>H146-CR146</f>
        <v>0</v>
      </c>
      <c r="CV146" s="265"/>
      <c r="CW146" s="265" t="s">
        <v>12</v>
      </c>
      <c r="CX146" s="267">
        <f>INDEX($M$144:$Z$158,MATCH($CW146,$L$144:$L$158,0),MATCH(CX$145,$M$145:$Z$145,0))/INDEX(고양시_재차인원!$D$4:$H$35,MATCH("고양시",고양시_재차인원!$B$4:$B$35,0),MATCH($CX$144,고양시_재차인원!$D$4:$H$4,0))</f>
        <v>26.248858025949939</v>
      </c>
      <c r="CY146" s="267">
        <f>INDEX($M$144:$Z$158,MATCH($CW146,$L$144:$L$158,0),MATCH(CY$145,$M$145:$Z$145,0))/INDEX(고양시_재차인원!$K$4:$O$20,MATCH("경기도",고양시_재차인원!$K$4:$K$20,0),MATCH(CY$145,고양시_재차인원!$K$4:$O$4,0))</f>
        <v>2.1712598063834373E-4</v>
      </c>
      <c r="CZ146" s="267">
        <f>INDEX($M$144:$Z$158,MATCH($CW146,$L$144:$L$158,0),MATCH(CZ$145,$M$145:$Z$145,0))/INDEX(고양시_재차인원!$K$4:$O$20,MATCH("경기도",고양시_재차인원!$K$4:$K$20,0),MATCH(CZ$145,고양시_재차인원!$K$4:$O$4,0))</f>
        <v>6.0361022617459556E-2</v>
      </c>
      <c r="DA146" s="267">
        <f>INDEX($M$144:$Z$158,MATCH($CW146,$L$144:$L$158,0),MATCH(DA$145,$M$145:$Z$145,0))/INDEX(고양시_재차인원!$D$4:$H$35,MATCH("고양시",고양시_재차인원!$B$4:$B$35,0),MATCH($CX$144,고양시_재차인원!$D$4:$H$4,0))</f>
        <v>1.6855528649451161</v>
      </c>
      <c r="DB146" s="267">
        <f>INDEX($AA$144:$AN$158,MATCH($CW146,$L$144:$L$158,0),MATCH(DB$145,$AA$145:$AN$145,0))/INDEX(고양시_재차인원!$D$4:$H$35,MATCH("고양시",고양시_재차인원!$B$4:$B$35,0),MATCH($DB$144,고양시_재차인원!$D$4:$H$4,0))</f>
        <v>150.89684981435343</v>
      </c>
      <c r="DC146" s="267">
        <f>INDEX($AA$144:$AN$158,MATCH($CW146,$L$144:$L$158,0),MATCH(DC$145,$AA$145:$AN$145,0))/INDEX(고양시_재차인원!$K$4:$O$20,MATCH("경기도",고양시_재차인원!$K$4:$K$20,0),MATCH(DC$145,고양시_재차인원!$K$4:$O$4,0))</f>
        <v>1.5713851418824056E-3</v>
      </c>
      <c r="DD146" s="267">
        <f>INDEX($AA$144:$AN$158,MATCH($CW146,$L$144:$L$158,0),MATCH(DD$145,$AA$145:$AN$145,0))/INDEX(고양시_재차인원!$K$4:$O$20,MATCH("경기도",고양시_재차인원!$K$4:$K$20,0),MATCH(DD$145,고양시_재차인원!$K$4:$O$4,0))</f>
        <v>0.43684506944330864</v>
      </c>
      <c r="DE146" s="267">
        <f>INDEX($AA$144:$AN$158,MATCH($CW146,$L$144:$L$158,0),MATCH(DE$145,$AA$145:$AN$145,0))/INDEX(고양시_재차인원!$D$4:$H$35,MATCH("고양시",고양시_재차인원!$B$4:$B$35,0),MATCH($DB$144,고양시_재차인원!$D$4:$H$4,0))</f>
        <v>9.6897403027715789</v>
      </c>
      <c r="DF146" s="267">
        <f>INDEX($AO$144:$BB$158,MATCH($CW146,$L$144:$L$158,0),MATCH(DF$145,$AO$145:$BB$145,0))/INDEX(고양시_재차인원!$D$4:$H$35,MATCH("고양시",고양시_재차인원!$B$4:$B$35,0),MATCH($DF$144,고양시_재차인원!$D$4:$H$4,0))</f>
        <v>9.3890585150940566</v>
      </c>
      <c r="DG146" s="267">
        <f>INDEX($AO$144:$BB$158,MATCH($CW146,$L$144:$L$158,0),MATCH(DG$145,$AO$145:$BB$145,0))/INDEX(고양시_재차인원!$K$4:$O$20,MATCH("경기도",고양시_재차인원!$K$4:$K$20,0),MATCH(DG$145,고양시_재차인원!$K$4:$O$4,0))</f>
        <v>9.0146476084949852E-5</v>
      </c>
      <c r="DH146" s="267">
        <f>INDEX($AO$144:$BB$158,MATCH($CW146,$L$144:$L$158,0),MATCH(DH$145,$AO$145:$BB$145,0))/INDEX(고양시_재차인원!$K$4:$O$20,MATCH("경기도",고양시_재차인원!$K$4:$K$20,0),MATCH(DH$145,고양시_재차인원!$K$4:$O$4,0))</f>
        <v>2.5060720351616054E-2</v>
      </c>
      <c r="DI146" s="267">
        <f>INDEX($AO$144:$BB$158,MATCH($CW146,$L$144:$L$158,0),MATCH(DI$145,$AO$145:$BB$145,0))/INDEX(고양시_재차인원!$D$4:$H$35,MATCH("고양시",고양시_재차인원!$B$4:$B$35,0),MATCH($DF$144,고양시_재차인원!$D$4:$H$4,0))</f>
        <v>0.60291211387591015</v>
      </c>
      <c r="DJ146" s="267">
        <f>INDEX($BC$144:$BP$158,MATCH($CW146,$L$144:$L$158,0),MATCH(DJ$145,$BC$145:$BP$145,0))/INDEX(고양시_재차인원!$D$4:$H$35,MATCH("고양시",고양시_재차인원!$B$4:$B$35,0),MATCH($DJ$144,고양시_재차인원!$D$4:$H$4,0))</f>
        <v>1.4103984303788147E-2</v>
      </c>
      <c r="DK146" s="267">
        <f>INDEX($BC$144:$BP$158,MATCH($CW146,$L$144:$L$158,0),MATCH(DK$145,$BC$145:$BP$145,0))/INDEX(고양시_재차인원!$K$4:$O$20,MATCH("경기도",고양시_재차인원!$K$4:$K$20,0),MATCH(DK$145,고양시_재차인원!$K$4:$O$4,0))</f>
        <v>1.4166549410940302E-7</v>
      </c>
      <c r="DL146" s="267">
        <f>INDEX($BC$144:$BP$158,MATCH($CW146,$L$144:$L$158,0),MATCH(DL$145,$BC$145:$BP$145,0))/INDEX(고양시_재차인원!$K$4:$O$20,MATCH("경기도",고양시_재차인원!$K$4:$K$20,0),MATCH(DL$145,고양시_재차인원!$K$4:$O$4,0))</f>
        <v>3.9383007362414036E-5</v>
      </c>
      <c r="DM146" s="267">
        <f>INDEX($BC$144:$BP$158,MATCH($CW146,$L$144:$L$158,0),MATCH(DM$145,$BC$145:$BP$145,0))/INDEX(고양시_재차인원!$D$4:$H$35,MATCH("고양시",고양시_재차인원!$B$4:$B$35,0),MATCH($DJ$144,고양시_재차인원!$D$4:$H$4,0))</f>
        <v>9.0567792042186277E-4</v>
      </c>
      <c r="DN146" s="267">
        <f>INDEX($BQ$144:$CD$158,MATCH($CW146,$L$144:$L$158,0),MATCH(DN$145,$BQ$145:$CD$145,0))/INDEX(고양시_재차인원!$D$4:$H$35,MATCH("고양시",고양시_재차인원!$B$4:$B$35,0),MATCH($DN$144,고양시_재차인원!$D$4:$H$4,0))</f>
        <v>5.751042629692784E-2</v>
      </c>
      <c r="DO146" s="267">
        <f>INDEX($BQ$144:$CD$158,MATCH($CW146,$L$144:$L$158,0),MATCH(DO$145,$BQ$145:$CD$145,0))/INDEX(고양시_재차인원!$K$4:$O$20,MATCH("경기도",고양시_재차인원!$K$4:$K$20,0),MATCH(DO$145,고양시_재차인원!$K$4:$O$4,0))</f>
        <v>5.3518075552440958E-7</v>
      </c>
      <c r="DP146" s="267">
        <f>INDEX($BQ$144:$CD$158,MATCH($CW146,$L$144:$L$158,0),MATCH(DP$145,$BQ$145:$CD$145,0))/INDEX(고양시_재차인원!$K$4:$O$20,MATCH("경기도",고양시_재차인원!$K$4:$K$20,0),MATCH(DP$145,고양시_재차인원!$K$4:$O$4,0))</f>
        <v>1.4878025003578585E-4</v>
      </c>
      <c r="DQ146" s="267">
        <f>INDEX($BQ$144:$CD$158,MATCH($CW146,$L$144:$L$158,0),MATCH(DQ$145,$BQ$145:$CD$145,0))/INDEX(고양시_재차인원!$D$4:$H$35,MATCH("고양시",고양시_재차인원!$B$4:$B$35,0),MATCH($DN$144,고양시_재차인원!$D$4:$H$4,0))</f>
        <v>3.6929935661646198E-3</v>
      </c>
      <c r="DR146" s="270">
        <f>CX146+DB146+DF146+DJ146+DN146</f>
        <v>186.60638076599815</v>
      </c>
      <c r="DS146" s="270">
        <f t="shared" ref="DS146:DS158" si="77">CY146+DC146+DG146+DK146+DO146</f>
        <v>1.8793344448553328E-3</v>
      </c>
      <c r="DT146" s="270">
        <f t="shared" ref="DT146:DT158" si="78">CZ146+DD146+DH146+DL146+DP146</f>
        <v>0.5224549756697825</v>
      </c>
      <c r="DU146" s="270">
        <f t="shared" ref="DU146:DU158" si="79">DA146+DE146+DI146+DM146+DQ146</f>
        <v>11.982803953079191</v>
      </c>
      <c r="DW146" s="278"/>
      <c r="DX146" s="278" t="s">
        <v>12</v>
      </c>
      <c r="DY146" s="281">
        <f>DR146+DU146</f>
        <v>198.58918471907734</v>
      </c>
      <c r="DZ146" s="281">
        <f>DS146+DT146</f>
        <v>0.52433431011463782</v>
      </c>
      <c r="EB146" s="278"/>
      <c r="EC146" s="278" t="s">
        <v>12</v>
      </c>
      <c r="ED146" s="281">
        <f>DY146</f>
        <v>198.58918471907734</v>
      </c>
      <c r="EE146" s="281">
        <f t="shared" ref="EE146:EE158" si="80">DZ146</f>
        <v>0.52433431011463782</v>
      </c>
      <c r="EL146" s="306" t="s">
        <v>12</v>
      </c>
      <c r="EM146" s="306" t="s">
        <v>567</v>
      </c>
      <c r="EN146" s="306">
        <v>8014.2473</v>
      </c>
      <c r="EO146" s="306">
        <v>0.11966025175817722</v>
      </c>
      <c r="EP146" s="307">
        <v>849101</v>
      </c>
      <c r="EQ146" s="308">
        <f>VLOOKUP($EL146,$EC$145:$EE$157,2,FALSE)*$EO146</f>
        <v>23.763231839935955</v>
      </c>
      <c r="ER146" s="308">
        <f>VLOOKUP($EL146,$EC$145:$EE$157,3,FALSE)*$EO146</f>
        <v>6.2741975553767731E-2</v>
      </c>
      <c r="ET146" s="420" t="s">
        <v>12</v>
      </c>
      <c r="EU146" s="420" t="s">
        <v>567</v>
      </c>
      <c r="EV146" s="420">
        <v>8014.2473</v>
      </c>
      <c r="EW146" s="420">
        <v>0.11966025175817722</v>
      </c>
      <c r="EX146" s="421">
        <v>849101</v>
      </c>
      <c r="EY146" s="422">
        <f>EQ146*$AV$11*(1-$AZ$7)</f>
        <v>23.08597973249778</v>
      </c>
      <c r="EZ146" s="422">
        <f t="shared" ref="EZ146:EZ179" si="81">ER146*$AV$11*(1-$AZ$7)</f>
        <v>6.0953829250485356E-2</v>
      </c>
      <c r="FA146">
        <v>0</v>
      </c>
      <c r="FD146" s="306" t="s">
        <v>12</v>
      </c>
      <c r="FE146" s="306" t="s">
        <v>567</v>
      </c>
      <c r="FF146" s="306">
        <v>8014.2473</v>
      </c>
      <c r="FG146" s="306">
        <v>0.11966025175817722</v>
      </c>
      <c r="FH146" s="307">
        <v>849101</v>
      </c>
      <c r="FI146" s="308">
        <f t="shared" ref="FI146:FI179" si="82">EY146*$FB$95</f>
        <v>23.08597973249778</v>
      </c>
      <c r="FJ146" s="308">
        <f t="shared" ref="FJ146:FJ179" si="83">EZ146*$FB$95</f>
        <v>6.0953829250485356E-2</v>
      </c>
      <c r="FL146" s="101"/>
      <c r="FM146" s="101"/>
      <c r="FN146" s="101"/>
      <c r="FO146" s="101"/>
      <c r="FP146" s="374"/>
      <c r="FQ146" s="404"/>
      <c r="FR146" s="404"/>
    </row>
    <row r="147" spans="1:174" ht="25">
      <c r="A147" s="205"/>
      <c r="B147" s="205" t="s">
        <v>667</v>
      </c>
      <c r="C147" s="400">
        <f>$AB62*KTDB_TripDistribution_2040!T$12 * (1+KTDB_발생량도착량_증가율!$C$7*2) * (1+KTDB_발생량도착량_증가율!$D$8*5)* (1+KTDB_발생량도착량_증가율!$E$8*5)* (1+KTDB_발생량도착량_증가율!$F$8*5)</f>
        <v>1361.3347828381457</v>
      </c>
      <c r="D147" s="400">
        <f>$AB62*KTDB_TripDistribution_2040!U$12 * (1+KTDB_발생량도착량_증가율!$C$7*2) * (1+KTDB_발생량도착량_증가율!$D$8*5)* (1+KTDB_발생량도착량_증가율!$E$8*5)* (1+KTDB_발생량도착량_증가율!$F$8*5)</f>
        <v>9852.2583275868055</v>
      </c>
      <c r="E147" s="400">
        <f>$AB62*KTDB_TripDistribution_2040!V$12 * (1+KTDB_발생량도착량_증가율!$C$7*2) * (1+KTDB_발생량도착량_증가율!$D$8*5)* (1+KTDB_발생량도착량_증가율!$E$8*5)* (1+KTDB_발생량도착량_증가율!$F$8*5)</f>
        <v>565.19967386646954</v>
      </c>
      <c r="F147" s="400">
        <f>$AB62*KTDB_TripDistribution_2040!W$12 * (1+KTDB_발생량도착량_증가율!$C$7*2) * (1+KTDB_발생량도착량_증가율!$D$8*5)* (1+KTDB_발생량도착량_증가율!$E$8*5)* (1+KTDB_발생량도착량_증가율!$F$8*5)</f>
        <v>0.8882132119431192</v>
      </c>
      <c r="G147" s="400">
        <f>$AB62*KTDB_TripDistribution_2040!X$12 * (1+KTDB_발생량도착량_증가율!$C$7*2) * (1+KTDB_발생량도착량_증가율!$D$8*5)* (1+KTDB_발생량도착량_증가율!$E$8*5)* (1+KTDB_발생량도착량_증가율!$F$8*5)</f>
        <v>3.3554721340073277</v>
      </c>
      <c r="H147" s="400">
        <f>$AB62*KTDB_TripDistribution_2040!Y$12 * (1+KTDB_발생량도착량_증가율!$C$7*2) * (1+KTDB_발생량도착량_증가율!$D$8*5)* (1+KTDB_발생량도착량_증가율!$E$8*5)* (1+KTDB_발생량도착량_증가율!$F$8*5)</f>
        <v>11783.036469637369</v>
      </c>
      <c r="J147" s="230">
        <f t="shared" si="63"/>
        <v>11783.036469637371</v>
      </c>
      <c r="K147" s="206"/>
      <c r="L147" s="206" t="s">
        <v>667</v>
      </c>
      <c r="M147" s="206">
        <f>INDEX($A$145:$H$158,MATCH($L147,$B$145:$B$158,0),MATCH($M$144,$A$145:$H$145,0))*고양시_Modal_split!C$3 * 0.01</f>
        <v>3.8117373919468078</v>
      </c>
      <c r="N147" s="206">
        <f>INDEX($A$145:$H$158,MATCH($L147,$B$145:$B$158,0),MATCH($M$144,$A$145:$H$145,0))*고양시_Modal_split!D$3 * 0.01</f>
        <v>640.23574836877992</v>
      </c>
      <c r="O147" s="206">
        <f>INDEX($A$145:$H$158,MATCH($L147,$B$145:$B$158,0),MATCH($M$144,$A$145:$H$145,0))*고양시_Modal_split!E$3 * 0.01</f>
        <v>77.459949143490491</v>
      </c>
      <c r="P147" s="206">
        <f>INDEX($A$145:$H$158,MATCH($L147,$B$145:$B$158,0),MATCH($M$144,$A$145:$H$145,0))*고양시_Modal_split!F$3 * 0.01</f>
        <v>124.83439958625796</v>
      </c>
      <c r="Q147" s="206">
        <f>INDEX($A$145:$H$158,MATCH($L147,$B$145:$B$158,0),MATCH($M$144,$A$145:$H$145,0))*고양시_Modal_split!G$3 * 0.01</f>
        <v>12.524280002110938</v>
      </c>
      <c r="R147" s="206">
        <f>INDEX($A$145:$H$158,MATCH($L147,$B$145:$B$158,0),MATCH($M$144,$A$145:$H$145,0))*고양시_Modal_split!H$3 * 0.01</f>
        <v>0.13613347828381459</v>
      </c>
      <c r="S147" s="206">
        <f>INDEX($A$145:$H$158,MATCH($L147,$B$145:$B$158,0),MATCH($M$144,$A$145:$H$145,0))*고양시_Modal_split!I$3 * 0.01</f>
        <v>37.845106962900445</v>
      </c>
      <c r="T147" s="206">
        <f>INDEX($A$145:$H$158,MATCH($L147,$B$145:$B$158,0),MATCH($M$144,$A$145:$H$145,0))*고양시_Modal_split!J$3 * 0.01</f>
        <v>414.39030789593153</v>
      </c>
      <c r="U147" s="206">
        <f>INDEX($A$145:$H$158,MATCH($L147,$B$145:$B$158,0),MATCH($M$144,$A$145:$H$145,0))*고양시_Modal_split!K$3 * 0.01</f>
        <v>2.0420021742572185</v>
      </c>
      <c r="V147" s="206">
        <f>INDEX($A$145:$H$158,MATCH($L147,$B$145:$B$158,0),MATCH($M$144,$A$145:$H$145,0))*고양시_Modal_split!L$3 * 0.01</f>
        <v>41.112310441711998</v>
      </c>
      <c r="W147" s="206">
        <f>INDEX($A$145:$H$158,MATCH($L147,$B$145:$B$158,0),MATCH($M$144,$A$145:$H$145,0))*고양시_Modal_split!M$3 * 0.01</f>
        <v>3.1310700005277345</v>
      </c>
      <c r="X147" s="206">
        <f>INDEX($A$145:$H$158,MATCH($L147,$B$145:$B$158,0),MATCH($M$144,$A$145:$H$145,0))*고양시_Modal_split!N$3 * 0.01</f>
        <v>1.3613347828381459</v>
      </c>
      <c r="Y147" s="206">
        <f>INDEX($A$145:$H$158,MATCH($L147,$B$145:$B$158,0),MATCH($M$144,$A$145:$H$145,0))*고양시_Modal_split!O$3 * 0.01</f>
        <v>2.4504026091086621</v>
      </c>
      <c r="Z147" s="209">
        <f>INDEX($A$145:$H$158,MATCH($L147,$B$145:$B$158,0),MATCH($M$144,$A$145:$H$145,0))*고양시_Modal_split!P$3 * 0.01</f>
        <v>1361.3347828381457</v>
      </c>
      <c r="AA147" s="207">
        <f>INDEX($A$145:$H$158,MATCH($L147,$B$145:$B$158,0),MATCH($AA$144,$A$145:$H$145,0))*고양시_Modal_split!C$3 * 0.01</f>
        <v>27.586323317243057</v>
      </c>
      <c r="AB147" s="207">
        <f>INDEX($A$145:$H$158,MATCH($L147,$B$145:$B$158,0),MATCH($AA$144,$A$145:$H$145,0))*고양시_Modal_split!D$3 * 0.01</f>
        <v>4633.5170914640748</v>
      </c>
      <c r="AC147" s="207">
        <f>INDEX($A$145:$H$158,MATCH($L147,$B$145:$B$158,0),MATCH($AA$144,$A$145:$H$145,0))*고양시_Modal_split!E$3 * 0.01</f>
        <v>560.59349883968923</v>
      </c>
      <c r="AD147" s="207">
        <f>INDEX($A$145:$H$158,MATCH($L147,$B$145:$B$158,0),MATCH($AA$144,$A$145:$H$145,0))*고양시_Modal_split!F$3 * 0.01</f>
        <v>903.45208863971015</v>
      </c>
      <c r="AE147" s="207">
        <f>INDEX($A$145:$H$158,MATCH($L147,$B$145:$B$158,0),MATCH($AA$144,$A$145:$H$145,0))*고양시_Modal_split!G$3 * 0.01</f>
        <v>90.640776613798607</v>
      </c>
      <c r="AF147" s="207">
        <f>INDEX($A$145:$H$158,MATCH($L147,$B$145:$B$158,0),MATCH($AA$144,$A$145:$H$145,0))*고양시_Modal_split!H$3 * 0.01</f>
        <v>0.98522583275868059</v>
      </c>
      <c r="AG147" s="207">
        <f>INDEX($A$145:$H$158,MATCH($L147,$B$145:$B$158,0),MATCH($AA$144,$A$145:$H$145,0))*고양시_Modal_split!I$3 * 0.01</f>
        <v>273.8927815069132</v>
      </c>
      <c r="AH147" s="207">
        <f>INDEX($A$145:$H$158,MATCH($L147,$B$145:$B$158,0),MATCH($AA$144,$A$145:$H$145,0))*고양시_Modal_split!J$3 * 0.01</f>
        <v>2999.0274349174238</v>
      </c>
      <c r="AI147" s="207">
        <f>INDEX($A$145:$H$158,MATCH($L147,$B$145:$B$158,0),MATCH($AA$144,$A$145:$H$145,0))*고양시_Modal_split!K$3 * 0.01</f>
        <v>14.778387491380208</v>
      </c>
      <c r="AJ147" s="207">
        <f>INDEX($A$145:$H$158,MATCH($L147,$B$145:$B$158,0),MATCH($AA$144,$A$145:$H$145,0))*고양시_Modal_split!L$3 * 0.01</f>
        <v>297.53820149312151</v>
      </c>
      <c r="AK147" s="207">
        <f>INDEX($A$145:$H$158,MATCH($L147,$B$145:$B$158,0),MATCH($AA$144,$A$145:$H$145,0))*고양시_Modal_split!M$3 * 0.01</f>
        <v>22.660194153449652</v>
      </c>
      <c r="AL147" s="207">
        <f>INDEX($A$145:$H$158,MATCH($L147,$B$145:$B$158,0),MATCH($AA$144,$A$145:$H$145,0))*고양시_Modal_split!N$3 * 0.01</f>
        <v>9.8522583275868065</v>
      </c>
      <c r="AM147" s="207">
        <f>INDEX($A$145:$H$158,MATCH($L147,$B$145:$B$158,0),MATCH($AA$144,$A$145:$H$145,0))*고양시_Modal_split!O$3 * 0.01</f>
        <v>17.73406498965625</v>
      </c>
      <c r="AN147" s="207">
        <f>INDEX($A$145:$H$158,MATCH($L147,$B$145:$B$158,0),MATCH($AA$144,$A$145:$H$145,0))*고양시_Modal_split!P$3 * 0.01</f>
        <v>9852.2583275868055</v>
      </c>
      <c r="AO147" s="303">
        <f>INDEX($A$145:$H$158,MATCH($L147,$B$145:$B$158,0),MATCH($AO$144,$A$145:$H$145,0))*고양시_Modal_split!C$3 * 0.01</f>
        <v>1.5825590868261146</v>
      </c>
      <c r="AP147" s="303">
        <f>INDEX($A$145:$H$158,MATCH($L147,$B$145:$B$158,0),MATCH($AO$144,$A$145:$H$145,0))*고양시_Modal_split!D$3 * 0.01</f>
        <v>265.81340661940061</v>
      </c>
      <c r="AQ147" s="303">
        <f>INDEX($A$145:$H$158,MATCH($L147,$B$145:$B$158,0),MATCH($AO$144,$A$145:$H$145,0))*고양시_Modal_split!E$3 * 0.01</f>
        <v>32.159861443002114</v>
      </c>
      <c r="AR147" s="303">
        <f>INDEX($A$145:$H$158,MATCH($L147,$B$145:$B$158,0),MATCH($AO$144,$A$145:$H$145,0))*고양시_Modal_split!F$3 * 0.01</f>
        <v>51.828810093555262</v>
      </c>
      <c r="AS147" s="303">
        <f>INDEX($A$145:$H$158,MATCH($L147,$B$145:$B$158,0),MATCH($AO$144,$A$145:$H$145,0))*고양시_Modal_split!G$3 * 0.01</f>
        <v>5.1998369995715192</v>
      </c>
      <c r="AT147" s="303">
        <f>INDEX($A$145:$H$158,MATCH($L147,$B$145:$B$158,0),MATCH($AO$144,$A$145:$H$145,0))*고양시_Modal_split!H$3 * 0.01</f>
        <v>5.6519967386646955E-2</v>
      </c>
      <c r="AU147" s="303">
        <f>INDEX($A$145:$H$158,MATCH($L147,$B$145:$B$158,0),MATCH($AO$144,$A$145:$H$145,0))*고양시_Modal_split!I$3 * 0.01</f>
        <v>15.712550933487853</v>
      </c>
      <c r="AV147" s="303">
        <f>INDEX($A$145:$H$158,MATCH($L147,$B$145:$B$158,0),MATCH($AO$144,$A$145:$H$145,0))*고양시_Modal_split!J$3 * 0.01</f>
        <v>172.04678072495335</v>
      </c>
      <c r="AW147" s="303">
        <f>INDEX($A$145:$H$158,MATCH($L147,$B$145:$B$158,0),MATCH($AO$144,$A$145:$H$145,0))*고양시_Modal_split!K$3 * 0.01</f>
        <v>0.84779951079970428</v>
      </c>
      <c r="AX147" s="303">
        <f>INDEX($A$145:$H$158,MATCH($L147,$B$145:$B$158,0),MATCH($AO$144,$A$145:$H$145,0))*고양시_Modal_split!L$3 * 0.01</f>
        <v>17.069030150767382</v>
      </c>
      <c r="AY147" s="303">
        <f>INDEX($A$145:$H$158,MATCH($L147,$B$145:$B$158,0),MATCH($AO$144,$A$145:$H$145,0))*고양시_Modal_split!M$3 * 0.01</f>
        <v>1.2999592498928798</v>
      </c>
      <c r="AZ147" s="303">
        <f>INDEX($A$145:$H$158,MATCH($L147,$B$145:$B$158,0),MATCH($AO$144,$A$145:$H$145,0))*고양시_Modal_split!N$3 * 0.01</f>
        <v>0.56519967386646952</v>
      </c>
      <c r="BA147" s="207">
        <f>INDEX($A$145:$H$158,MATCH($L147,$B$145:$B$158,0),MATCH($AO$144,$A$145:$H$145,0))*고양시_Modal_split!O$3 * 0.01</f>
        <v>1.017359412959645</v>
      </c>
      <c r="BB147" s="207">
        <f>INDEX($A$145:$H$158,MATCH($L147,$B$145:$B$158,0),MATCH($AO$144,$A$145:$H$145,0))*고양시_Modal_split!P$3 * 0.01</f>
        <v>565.19967386646954</v>
      </c>
      <c r="BC147" s="207">
        <f>INDEX($A$145:$H$158,MATCH($L147,$B$145:$B$158,0),MATCH($BC$144,$A$145:$H$145,0))*고양시_Modal_split!C$3 * 0.01</f>
        <v>2.4869969934407338E-3</v>
      </c>
      <c r="BD147" s="207">
        <f>INDEX($A$145:$H$158,MATCH($L147,$B$145:$B$158,0),MATCH($BC$144,$A$145:$H$145,0))*고양시_Modal_split!D$3 * 0.01</f>
        <v>0.41772667357684895</v>
      </c>
      <c r="BE147" s="207">
        <f>INDEX($A$145:$H$158,MATCH($L147,$B$145:$B$158,0),MATCH($BC$144,$A$145:$H$145,0))*고양시_Modal_split!E$3 * 0.01</f>
        <v>5.0539331759563481E-2</v>
      </c>
      <c r="BF147" s="207">
        <f>INDEX($A$145:$H$158,MATCH($L147,$B$145:$B$158,0),MATCH($BC$144,$A$145:$H$145,0))*고양시_Modal_split!F$3 * 0.01</f>
        <v>8.1449151535184033E-2</v>
      </c>
      <c r="BG147" s="207">
        <f>INDEX($A$145:$H$158,MATCH($L147,$B$145:$B$158,0),MATCH($BC$144,$A$145:$H$145,0))*고양시_Modal_split!G$3 * 0.01</f>
        <v>8.1715615498766953E-3</v>
      </c>
      <c r="BH147" s="207">
        <f>INDEX($A$145:$H$158,MATCH($L147,$B$145:$B$158,0),MATCH($BC$144,$A$145:$H$145,0))*고양시_Modal_split!H$3 * 0.01</f>
        <v>8.882132119431192E-5</v>
      </c>
      <c r="BI147" s="207">
        <f>INDEX($A$145:$H$158,MATCH($L147,$B$145:$B$158,0),MATCH($BC$144,$A$145:$H$145,0))*고양시_Modal_split!I$3 * 0.01</f>
        <v>2.4692327292018711E-2</v>
      </c>
      <c r="BJ147" s="207">
        <f>INDEX($A$145:$H$158,MATCH($L147,$B$145:$B$158,0),MATCH($BC$144,$A$145:$H$145,0))*고양시_Modal_split!J$3 * 0.01</f>
        <v>0.27037210171548548</v>
      </c>
      <c r="BK147" s="207">
        <f>INDEX($A$145:$H$158,MATCH($L147,$B$145:$B$158,0),MATCH($BC$144,$A$145:$H$145,0))*고양시_Modal_split!K$3 * 0.01</f>
        <v>1.3323198179146787E-3</v>
      </c>
      <c r="BL147" s="207">
        <f>INDEX($A$145:$H$158,MATCH($L147,$B$145:$B$158,0),MATCH($BC$144,$A$145:$H$145,0))*고양시_Modal_split!L$3 * 0.01</f>
        <v>2.6824039000682198E-2</v>
      </c>
      <c r="BM147" s="207">
        <f>INDEX($A$145:$H$158,MATCH($L147,$B$145:$B$158,0),MATCH($BC$144,$A$145:$H$145,0))*고양시_Modal_split!M$3 * 0.01</f>
        <v>2.0428903874691738E-3</v>
      </c>
      <c r="BN147" s="207">
        <f>INDEX($A$145:$H$158,MATCH($L147,$B$145:$B$158,0),MATCH($BC$144,$A$145:$H$145,0))*고양시_Modal_split!N$3 * 0.01</f>
        <v>8.882132119431192E-4</v>
      </c>
      <c r="BO147" s="207">
        <f>INDEX($A$145:$H$158,MATCH($L147,$B$145:$B$158,0),MATCH($BC$144,$A$145:$H$145,0))*고양시_Modal_split!O$3 * 0.01</f>
        <v>1.5987837814976143E-3</v>
      </c>
      <c r="BP147" s="207">
        <f>INDEX($A$145:$H$158,MATCH($L147,$B$145:$B$158,0),MATCH($BC$144,$A$145:$H$145,0))*고양시_Modal_split!P$3 * 0.01</f>
        <v>0.8882132119431192</v>
      </c>
      <c r="BQ147" s="207">
        <f>INDEX($A$145:$H$158,MATCH($L147,$B$145:$B$158,0),MATCH($BQ$144,$A$145:$H$145,0))*고양시_Modal_split!C$3 * 0.01</f>
        <v>9.3953219752205171E-3</v>
      </c>
      <c r="BR147" s="207">
        <f>INDEX($A$145:$H$158,MATCH($L147,$B$145:$B$158,0),MATCH($BQ$144,$A$145:$H$145,0))*고양시_Modal_split!D$3 * 0.01</f>
        <v>1.5780785446236463</v>
      </c>
      <c r="BS147" s="207">
        <f>INDEX($A$145:$H$158,MATCH($L147,$B$145:$B$158,0),MATCH($BQ$144,$A$145:$H$145,0))*고양시_Modal_split!E$3 * 0.01</f>
        <v>0.19092636442501693</v>
      </c>
      <c r="BT147" s="207">
        <f>INDEX($A$145:$H$158,MATCH($L147,$B$145:$B$158,0),MATCH($BQ$144,$A$145:$H$145,0))*고양시_Modal_split!F$3 * 0.01</f>
        <v>0.30769679468847194</v>
      </c>
      <c r="BU147" s="207">
        <f>INDEX($A$145:$H$158,MATCH($L147,$B$145:$B$158,0),MATCH($BQ$144,$A$145:$H$145,0))*고양시_Modal_split!G$3 * 0.01</f>
        <v>3.0870343632867413E-2</v>
      </c>
      <c r="BV147" s="207">
        <f>INDEX($A$145:$H$158,MATCH($L147,$B$145:$B$158,0),MATCH($BQ$144,$A$145:$H$145,0))*고양시_Modal_split!H$3 * 0.01</f>
        <v>3.355472134007328E-4</v>
      </c>
      <c r="BW147" s="207">
        <f>INDEX($A$145:$H$158,MATCH($L147,$B$145:$B$158,0),MATCH($BQ$144,$A$145:$H$145,0))*고양시_Modal_split!I$3 * 0.01</f>
        <v>9.3282125325403698E-2</v>
      </c>
      <c r="BX147" s="207">
        <f>INDEX($A$145:$H$158,MATCH($L147,$B$145:$B$158,0),MATCH($BQ$144,$A$145:$H$145,0))*고양시_Modal_split!J$3 * 0.01</f>
        <v>1.0214057175918305</v>
      </c>
      <c r="BY147" s="207">
        <f>INDEX($A$145:$H$158,MATCH($L147,$B$145:$B$158,0),MATCH($BQ$144,$A$145:$H$145,0))*고양시_Modal_split!K$3 * 0.01</f>
        <v>5.0332082010109917E-3</v>
      </c>
      <c r="BZ147" s="207">
        <f>INDEX($A$145:$H$158,MATCH($L147,$B$145:$B$158,0),MATCH($BQ$144,$A$145:$H$145,0))*고양시_Modal_split!L$3 * 0.01</f>
        <v>0.10133525844702129</v>
      </c>
      <c r="CA147" s="207">
        <f>INDEX($A$145:$H$158,MATCH($L147,$B$145:$B$158,0),MATCH($BQ$144,$A$145:$H$145,0))*고양시_Modal_split!M$3 * 0.01</f>
        <v>7.7175859082168532E-3</v>
      </c>
      <c r="CB147" s="207">
        <f>INDEX($A$145:$H$158,MATCH($L147,$B$145:$B$158,0),MATCH($BQ$144,$A$145:$H$145,0))*고양시_Modal_split!N$3 * 0.01</f>
        <v>3.3554721340073278E-3</v>
      </c>
      <c r="CC147" s="207">
        <f>INDEX($A$145:$H$158,MATCH($L147,$B$145:$B$158,0),MATCH($BQ$144,$A$145:$H$145,0))*고양시_Modal_split!O$3 * 0.01</f>
        <v>6.0398498412131893E-3</v>
      </c>
      <c r="CD147" s="207">
        <f>INDEX($A$145:$H$158,MATCH($L147,$B$145:$B$158,0),MATCH($BQ$144,$A$145:$H$145,0))*고양시_Modal_split!P$3 * 0.01</f>
        <v>3.3554721340073277</v>
      </c>
      <c r="CE147" s="304">
        <f t="shared" ref="CE147:CE158" si="84">M147+AA147+AO147+BC147+BQ147</f>
        <v>32.992502114984639</v>
      </c>
      <c r="CF147" s="304">
        <f t="shared" si="64"/>
        <v>5541.5620516704566</v>
      </c>
      <c r="CG147" s="304">
        <f t="shared" si="65"/>
        <v>670.4547751223663</v>
      </c>
      <c r="CH147" s="304">
        <f t="shared" si="66"/>
        <v>1080.5044442657472</v>
      </c>
      <c r="CI147" s="304">
        <f t="shared" si="67"/>
        <v>108.40393552066381</v>
      </c>
      <c r="CJ147" s="304">
        <f t="shared" si="68"/>
        <v>1.1783036469637371</v>
      </c>
      <c r="CK147" s="304">
        <f t="shared" si="69"/>
        <v>327.56841385591895</v>
      </c>
      <c r="CL147" s="304">
        <f t="shared" si="70"/>
        <v>3586.7563013576159</v>
      </c>
      <c r="CM147" s="304">
        <f t="shared" si="71"/>
        <v>17.674554704456057</v>
      </c>
      <c r="CN147" s="304">
        <f t="shared" si="72"/>
        <v>355.84770138304862</v>
      </c>
      <c r="CO147" s="304">
        <f t="shared" si="73"/>
        <v>27.100983880165952</v>
      </c>
      <c r="CP147" s="304">
        <f t="shared" si="74"/>
        <v>11.783036469637374</v>
      </c>
      <c r="CQ147" s="304">
        <f t="shared" si="75"/>
        <v>21.209465645347265</v>
      </c>
      <c r="CR147" s="304">
        <f t="shared" si="76"/>
        <v>11783.036469637371</v>
      </c>
      <c r="CS147" s="305">
        <f t="shared" ref="CS147:CS158" si="85">H147-CR147</f>
        <v>0</v>
      </c>
      <c r="CV147" s="265"/>
      <c r="CW147" s="265" t="s">
        <v>667</v>
      </c>
      <c r="CX147" s="267">
        <f>INDEX($M$144:$Z$158,MATCH($CW147,$L$144:$L$158,0),MATCH(CX$145,$M$145:$Z$145,0))/INDEX(고양시_재차인원!$D$4:$H$35,MATCH("고양시",고양시_재차인원!$B$4:$B$35,0),MATCH($CX$144,고양시_재차인원!$D$4:$H$4,0))</f>
        <v>571.6390610435534</v>
      </c>
      <c r="CY147" s="267">
        <f>INDEX($M$144:$Z$158,MATCH($CW147,$L$144:$L$158,0),MATCH(CY$145,$M$145:$Z$145,0))/INDEX(고양시_재차인원!$K$4:$O$20,MATCH("경기도",고양시_재차인원!$K$4:$K$20,0),MATCH(CY$145,고양시_재차인원!$K$4:$O$4,0))</f>
        <v>4.7284987246896349E-3</v>
      </c>
      <c r="CZ147" s="267">
        <f>INDEX($M$144:$Z$158,MATCH($CW147,$L$144:$L$158,0),MATCH(CZ$145,$M$145:$Z$145,0))/INDEX(고양시_재차인원!$K$4:$O$20,MATCH("경기도",고양시_재차인원!$K$4:$K$20,0),MATCH(CZ$145,고양시_재차인원!$K$4:$O$4,0))</f>
        <v>1.3145226454637182</v>
      </c>
      <c r="DA147" s="267">
        <f>INDEX($M$144:$Z$158,MATCH($CW147,$L$144:$L$158,0),MATCH(DA$145,$M$145:$Z$145,0))/INDEX(고양시_재차인원!$D$4:$H$35,MATCH("고양시",고양시_재차인원!$B$4:$B$35,0),MATCH($CX$144,고양시_재차인원!$D$4:$H$4,0))</f>
        <v>36.707420037242855</v>
      </c>
      <c r="DB147" s="267">
        <f>INDEX($AA$144:$AN$158,MATCH($CW147,$L$144:$L$158,0),MATCH(DB$145,$AA$145:$AN$145,0))/INDEX(고양시_재차인원!$D$4:$H$35,MATCH("고양시",고양시_재차인원!$B$4:$B$35,0),MATCH($DB$144,고양시_재차인원!$D$4:$H$4,0))</f>
        <v>3286.1823343716846</v>
      </c>
      <c r="DC147" s="267">
        <f>INDEX($AA$144:$AN$158,MATCH($CW147,$L$144:$L$158,0),MATCH(DC$145,$AA$145:$AN$145,0))/INDEX(고양시_재차인원!$K$4:$O$20,MATCH("경기도",고양시_재차인원!$K$4:$K$20,0),MATCH(DC$145,고양시_재차인원!$K$4:$O$4,0))</f>
        <v>3.4221112634896862E-2</v>
      </c>
      <c r="DD147" s="267">
        <f>INDEX($AA$144:$AN$158,MATCH($CW147,$L$144:$L$158,0),MATCH(DD$145,$AA$145:$AN$145,0))/INDEX(고양시_재차인원!$K$4:$O$20,MATCH("경기도",고양시_재차인원!$K$4:$K$20,0),MATCH(DD$145,고양시_재차인원!$K$4:$O$4,0))</f>
        <v>9.5134693125013268</v>
      </c>
      <c r="DE147" s="267">
        <f>INDEX($AA$144:$AN$158,MATCH($CW147,$L$144:$L$158,0),MATCH(DE$145,$AA$145:$AN$145,0))/INDEX(고양시_재차인원!$D$4:$H$35,MATCH("고양시",고양시_재차인원!$B$4:$B$35,0),MATCH($DB$144,고양시_재차인원!$D$4:$H$4,0))</f>
        <v>211.02000105895144</v>
      </c>
      <c r="DF147" s="267">
        <f>INDEX($AO$144:$BB$158,MATCH($CW147,$L$144:$L$158,0),MATCH(DF$145,$AO$145:$BB$145,0))/INDEX(고양시_재차인원!$D$4:$H$35,MATCH("고양시",고양시_재차인원!$B$4:$B$35,0),MATCH($DF$144,고양시_재차인원!$D$4:$H$4,0))</f>
        <v>204.47185124569276</v>
      </c>
      <c r="DG147" s="267">
        <f>INDEX($AO$144:$BB$158,MATCH($CW147,$L$144:$L$158,0),MATCH(DG$145,$AO$145:$BB$145,0))/INDEX(고양시_재차인원!$K$4:$O$20,MATCH("경기도",고양시_재차인원!$K$4:$K$20,0),MATCH(DG$145,고양시_재차인원!$K$4:$O$4,0))</f>
        <v>1.963180527497289E-3</v>
      </c>
      <c r="DH147" s="267">
        <f>INDEX($AO$144:$BB$158,MATCH($CW147,$L$144:$L$158,0),MATCH(DH$145,$AO$145:$BB$145,0))/INDEX(고양시_재차인원!$K$4:$O$20,MATCH("경기도",고양시_재차인원!$K$4:$K$20,0),MATCH(DH$145,고양시_재차인원!$K$4:$O$4,0))</f>
        <v>0.54576418664424642</v>
      </c>
      <c r="DI147" s="267">
        <f>INDEX($AO$144:$BB$158,MATCH($CW147,$L$144:$L$158,0),MATCH(DI$145,$AO$145:$BB$145,0))/INDEX(고양시_재차인원!$D$4:$H$35,MATCH("고양시",고양시_재차인원!$B$4:$B$35,0),MATCH($DF$144,고양시_재차인원!$D$4:$H$4,0))</f>
        <v>13.130023192897985</v>
      </c>
      <c r="DJ147" s="267">
        <f>INDEX($BC$144:$BP$158,MATCH($CW147,$L$144:$L$158,0),MATCH(DJ$145,$BC$145:$BP$145,0))/INDEX(고양시_재차인원!$D$4:$H$35,MATCH("고양시",고양시_재차인원!$B$4:$B$35,0),MATCH($DJ$144,고양시_재차인원!$D$4:$H$4,0))</f>
        <v>0.30715196586533011</v>
      </c>
      <c r="DK147" s="267">
        <f>INDEX($BC$144:$BP$158,MATCH($CW147,$L$144:$L$158,0),MATCH(DK$145,$BC$145:$BP$145,0))/INDEX(고양시_재차인원!$K$4:$O$20,MATCH("경기도",고양시_재차인원!$K$4:$K$20,0),MATCH(DK$145,고양시_재차인원!$K$4:$O$4,0))</f>
        <v>3.0851448834425817E-6</v>
      </c>
      <c r="DL147" s="267">
        <f>INDEX($BC$144:$BP$158,MATCH($CW147,$L$144:$L$158,0),MATCH(DL$145,$BC$145:$BP$145,0))/INDEX(고양시_재차인원!$K$4:$O$20,MATCH("경기도",고양시_재차인원!$K$4:$K$20,0),MATCH(DL$145,고양시_재차인원!$K$4:$O$4,0))</f>
        <v>8.5767027759703763E-4</v>
      </c>
      <c r="DM147" s="267">
        <f>INDEX($BC$144:$BP$158,MATCH($CW147,$L$144:$L$158,0),MATCH(DM$145,$BC$145:$BP$145,0))/INDEX(고양시_재차인원!$D$4:$H$35,MATCH("고양시",고양시_재차인원!$B$4:$B$35,0),MATCH($DJ$144,고양시_재차인원!$D$4:$H$4,0))</f>
        <v>1.9723558088736909E-2</v>
      </c>
      <c r="DN147" s="267">
        <f>INDEX($BQ$144:$CD$158,MATCH($CW147,$L$144:$L$158,0),MATCH(DN$145,$BQ$145:$CD$145,0))/INDEX(고양시_재차인원!$D$4:$H$35,MATCH("고양시",고양시_재차인원!$B$4:$B$35,0),MATCH($DN$144,고양시_재차인원!$D$4:$H$4,0))</f>
        <v>1.2524432893838462</v>
      </c>
      <c r="DO147" s="267">
        <f>INDEX($BQ$144:$CD$158,MATCH($CW147,$L$144:$L$158,0),MATCH(DO$145,$BQ$145:$CD$145,0))/INDEX(고양시_재차인원!$K$4:$O$20,MATCH("경기도",고양시_재차인원!$K$4:$K$20,0),MATCH(DO$145,고양시_재차인원!$K$4:$O$4,0))</f>
        <v>1.1654991781894158E-5</v>
      </c>
      <c r="DP147" s="267">
        <f>INDEX($BQ$144:$CD$158,MATCH($CW147,$L$144:$L$158,0),MATCH(DP$145,$BQ$145:$CD$145,0))/INDEX(고양시_재차인원!$K$4:$O$20,MATCH("경기도",고양시_재차인원!$K$4:$K$20,0),MATCH(DP$145,고양시_재차인원!$K$4:$O$4,0))</f>
        <v>3.240087715366575E-3</v>
      </c>
      <c r="DQ147" s="267">
        <f>INDEX($BQ$144:$CD$158,MATCH($CW147,$L$144:$L$158,0),MATCH(DQ$145,$BQ$145:$CD$145,0))/INDEX(고양시_재차인원!$D$4:$H$35,MATCH("고양시",고양시_재차인원!$B$4:$B$35,0),MATCH($DN$144,고양시_재차인원!$D$4:$H$4,0))</f>
        <v>8.0424808291286745E-2</v>
      </c>
      <c r="DR147" s="270">
        <f t="shared" ref="DR147:DR158" si="86">CX147+DB147+DF147+DJ147+DN147</f>
        <v>4063.8528419161798</v>
      </c>
      <c r="DS147" s="270">
        <f t="shared" si="77"/>
        <v>4.0927532023749123E-2</v>
      </c>
      <c r="DT147" s="270">
        <f t="shared" si="78"/>
        <v>11.377853902602256</v>
      </c>
      <c r="DU147" s="270">
        <f t="shared" si="79"/>
        <v>260.9575926554723</v>
      </c>
      <c r="DW147" s="278"/>
      <c r="DX147" s="278" t="s">
        <v>667</v>
      </c>
      <c r="DY147" s="281">
        <f t="shared" ref="DY147:DY158" si="87">DR147+DU147</f>
        <v>4324.810434571652</v>
      </c>
      <c r="DZ147" s="281">
        <f t="shared" ref="DZ147:DZ158" si="88">DS147+DT147</f>
        <v>11.418781434626005</v>
      </c>
      <c r="EB147" s="278"/>
      <c r="EC147" s="278" t="s">
        <v>667</v>
      </c>
      <c r="ED147" s="281">
        <f t="shared" ref="ED147:ED158" si="89">DY147</f>
        <v>4324.810434571652</v>
      </c>
      <c r="EE147" s="281">
        <f t="shared" si="80"/>
        <v>11.418781434626005</v>
      </c>
      <c r="EL147" s="306" t="s">
        <v>12</v>
      </c>
      <c r="EM147" s="306" t="s">
        <v>610</v>
      </c>
      <c r="EN147" s="306">
        <v>5231.5074000000004</v>
      </c>
      <c r="EO147" s="306">
        <v>7.8111327130966773E-2</v>
      </c>
      <c r="EP147" s="307">
        <v>849102</v>
      </c>
      <c r="EQ147" s="308">
        <f t="shared" ref="EQ147:EQ157" si="90">VLOOKUP($EL147,$EC$145:$EE$157,2,FALSE)*$EO147</f>
        <v>15.512064772263837</v>
      </c>
      <c r="ER147" s="308">
        <f t="shared" ref="ER147:ER157" si="91">VLOOKUP($EL147,$EC$145:$EE$157,3,FALSE)*$EO147</f>
        <v>4.0956448823354252E-2</v>
      </c>
      <c r="ET147" s="420" t="s">
        <v>12</v>
      </c>
      <c r="EU147" s="420" t="s">
        <v>610</v>
      </c>
      <c r="EV147" s="420">
        <v>5231.5074000000004</v>
      </c>
      <c r="EW147" s="420">
        <v>7.8111327130966773E-2</v>
      </c>
      <c r="EX147" s="421">
        <v>849102</v>
      </c>
      <c r="EY147" s="422">
        <f t="shared" ref="EY147:EY179" si="92">EQ147*$AV$11*(1-$AZ$7)</f>
        <v>15.069970926254319</v>
      </c>
      <c r="EZ147" s="422">
        <f t="shared" si="81"/>
        <v>3.978919003188866E-2</v>
      </c>
      <c r="FA147">
        <v>0</v>
      </c>
      <c r="FD147" s="306" t="s">
        <v>12</v>
      </c>
      <c r="FE147" s="306" t="s">
        <v>610</v>
      </c>
      <c r="FF147" s="306">
        <v>5231.5074000000004</v>
      </c>
      <c r="FG147" s="306">
        <v>7.8111327130966773E-2</v>
      </c>
      <c r="FH147" s="307">
        <v>849102</v>
      </c>
      <c r="FI147" s="308">
        <f t="shared" si="82"/>
        <v>15.069970926254319</v>
      </c>
      <c r="FJ147" s="308">
        <f t="shared" si="83"/>
        <v>3.978919003188866E-2</v>
      </c>
      <c r="FL147" s="101"/>
      <c r="FM147" s="101"/>
      <c r="FN147" s="101"/>
      <c r="FO147" s="101"/>
      <c r="FP147" s="374"/>
      <c r="FQ147" s="404"/>
      <c r="FR147" s="404"/>
    </row>
    <row r="148" spans="1:174" ht="25">
      <c r="A148" s="205"/>
      <c r="B148" s="205" t="s">
        <v>669</v>
      </c>
      <c r="C148" s="400">
        <f>$AB63*KTDB_TripDistribution_2040!T$12 * (1+KTDB_발생량도착량_증가율!$C$7*2) * (1+KTDB_발생량도착량_증가율!$D$8*5)* (1+KTDB_발생량도착량_증가율!$E$8*5)* (1+KTDB_발생량도착량_증가율!$F$8*5)</f>
        <v>1023.2733991180546</v>
      </c>
      <c r="D148" s="400">
        <f>$AB63*KTDB_TripDistribution_2040!U$12 * (1+KTDB_발생량도착량_증가율!$C$7*2) * (1+KTDB_발생량도착량_증가율!$D$8*5)* (1+KTDB_발생량도착량_증가율!$E$8*5)* (1+KTDB_발생량도착량_증가율!$F$8*5)</f>
        <v>7405.6389324311749</v>
      </c>
      <c r="E148" s="400">
        <f>$AB63*KTDB_TripDistribution_2040!V$12 * (1+KTDB_발생량도착량_증가율!$C$7*2) * (1+KTDB_발생량도착량_증가율!$D$8*5)* (1+KTDB_발생량도착량_증가율!$E$8*5)* (1+KTDB_발생량도착량_증가율!$F$8*5)</f>
        <v>424.84317505793217</v>
      </c>
      <c r="F148" s="400">
        <f>$AB63*KTDB_TripDistribution_2040!W$12 * (1+KTDB_발생량도착량_증가율!$C$7*2) * (1+KTDB_발생량도착량_증가율!$D$8*5)* (1+KTDB_발생량도착량_증가율!$E$8*5)* (1+KTDB_발생량도착량_증가율!$F$8*5)</f>
        <v>0.66764249616228422</v>
      </c>
      <c r="G148" s="400">
        <f>$AB63*KTDB_TripDistribution_2040!X$12 * (1+KTDB_발생량도착량_증가율!$C$7*2) * (1+KTDB_발생량도착량_증가율!$D$8*5)* (1+KTDB_발생량도착량_증가율!$E$8*5)* (1+KTDB_발생량도착량_증가율!$F$8*5)</f>
        <v>2.5222049855019542</v>
      </c>
      <c r="H148" s="400">
        <f>$AB63*KTDB_TripDistribution_2040!Y$12 * (1+KTDB_발생량도착량_증가율!$C$7*2) * (1+KTDB_발생량도착량_증가율!$D$8*5)* (1+KTDB_발생량도착량_증가율!$E$8*5)* (1+KTDB_발생량도착량_증가율!$F$8*5)</f>
        <v>8856.945354088828</v>
      </c>
      <c r="J148" s="230">
        <f t="shared" si="63"/>
        <v>8856.9453540888262</v>
      </c>
      <c r="K148" s="206"/>
      <c r="L148" s="206" t="s">
        <v>669</v>
      </c>
      <c r="M148" s="206">
        <f>INDEX($A$145:$H$158,MATCH($L148,$B$145:$B$158,0),MATCH($M$144,$A$145:$H$145,0))*고양시_Modal_split!C$3 * 0.01</f>
        <v>2.8651655175305524</v>
      </c>
      <c r="N148" s="206">
        <f>INDEX($A$145:$H$158,MATCH($L148,$B$145:$B$158,0),MATCH($M$144,$A$145:$H$145,0))*고양시_Modal_split!D$3 * 0.01</f>
        <v>481.24547960522113</v>
      </c>
      <c r="O148" s="206">
        <f>INDEX($A$145:$H$158,MATCH($L148,$B$145:$B$158,0),MATCH($M$144,$A$145:$H$145,0))*고양시_Modal_split!E$3 * 0.01</f>
        <v>58.224256409817301</v>
      </c>
      <c r="P148" s="206">
        <f>INDEX($A$145:$H$158,MATCH($L148,$B$145:$B$158,0),MATCH($M$144,$A$145:$H$145,0))*고양시_Modal_split!F$3 * 0.01</f>
        <v>93.834170699125607</v>
      </c>
      <c r="Q148" s="206">
        <f>INDEX($A$145:$H$158,MATCH($L148,$B$145:$B$158,0),MATCH($M$144,$A$145:$H$145,0))*고양시_Modal_split!G$3 * 0.01</f>
        <v>9.4141152718861019</v>
      </c>
      <c r="R148" s="206">
        <f>INDEX($A$145:$H$158,MATCH($L148,$B$145:$B$158,0),MATCH($M$144,$A$145:$H$145,0))*고양시_Modal_split!H$3 * 0.01</f>
        <v>0.10232733991180547</v>
      </c>
      <c r="S148" s="206">
        <f>INDEX($A$145:$H$158,MATCH($L148,$B$145:$B$158,0),MATCH($M$144,$A$145:$H$145,0))*고양시_Modal_split!I$3 * 0.01</f>
        <v>28.447000495481916</v>
      </c>
      <c r="T148" s="206">
        <f>INDEX($A$145:$H$158,MATCH($L148,$B$145:$B$158,0),MATCH($M$144,$A$145:$H$145,0))*고양시_Modal_split!J$3 * 0.01</f>
        <v>311.48442269153583</v>
      </c>
      <c r="U148" s="206">
        <f>INDEX($A$145:$H$158,MATCH($L148,$B$145:$B$158,0),MATCH($M$144,$A$145:$H$145,0))*고양시_Modal_split!K$3 * 0.01</f>
        <v>1.5349100986770818</v>
      </c>
      <c r="V148" s="206">
        <f>INDEX($A$145:$H$158,MATCH($L148,$B$145:$B$158,0),MATCH($M$144,$A$145:$H$145,0))*고양시_Modal_split!L$3 * 0.01</f>
        <v>30.902856653365248</v>
      </c>
      <c r="W148" s="206">
        <f>INDEX($A$145:$H$158,MATCH($L148,$B$145:$B$158,0),MATCH($M$144,$A$145:$H$145,0))*고양시_Modal_split!M$3 * 0.01</f>
        <v>2.3535288179715255</v>
      </c>
      <c r="X148" s="206">
        <f>INDEX($A$145:$H$158,MATCH($L148,$B$145:$B$158,0),MATCH($M$144,$A$145:$H$145,0))*고양시_Modal_split!N$3 * 0.01</f>
        <v>1.0232733991180547</v>
      </c>
      <c r="Y148" s="206">
        <f>INDEX($A$145:$H$158,MATCH($L148,$B$145:$B$158,0),MATCH($M$144,$A$145:$H$145,0))*고양시_Modal_split!O$3 * 0.01</f>
        <v>1.8418921184124983</v>
      </c>
      <c r="Z148" s="209">
        <f>INDEX($A$145:$H$158,MATCH($L148,$B$145:$B$158,0),MATCH($M$144,$A$145:$H$145,0))*고양시_Modal_split!P$3 * 0.01</f>
        <v>1023.2733991180547</v>
      </c>
      <c r="AA148" s="207">
        <f>INDEX($A$145:$H$158,MATCH($L148,$B$145:$B$158,0),MATCH($AA$144,$A$145:$H$145,0))*고양시_Modal_split!C$3 * 0.01</f>
        <v>20.735789010807288</v>
      </c>
      <c r="AB148" s="207">
        <f>INDEX($A$145:$H$158,MATCH($L148,$B$145:$B$158,0),MATCH($AA$144,$A$145:$H$145,0))*고양시_Modal_split!D$3 * 0.01</f>
        <v>3482.8719899223815</v>
      </c>
      <c r="AC148" s="207">
        <f>INDEX($A$145:$H$158,MATCH($L148,$B$145:$B$158,0),MATCH($AA$144,$A$145:$H$145,0))*고양시_Modal_split!E$3 * 0.01</f>
        <v>421.38085525533381</v>
      </c>
      <c r="AD148" s="207">
        <f>INDEX($A$145:$H$158,MATCH($L148,$B$145:$B$158,0),MATCH($AA$144,$A$145:$H$145,0))*고양시_Modal_split!F$3 * 0.01</f>
        <v>679.09709010393874</v>
      </c>
      <c r="AE148" s="207">
        <f>INDEX($A$145:$H$158,MATCH($L148,$B$145:$B$158,0),MATCH($AA$144,$A$145:$H$145,0))*고양시_Modal_split!G$3 * 0.01</f>
        <v>68.131878178366804</v>
      </c>
      <c r="AF148" s="207">
        <f>INDEX($A$145:$H$158,MATCH($L148,$B$145:$B$158,0),MATCH($AA$144,$A$145:$H$145,0))*고양시_Modal_split!H$3 * 0.01</f>
        <v>0.74056389324311755</v>
      </c>
      <c r="AG148" s="207">
        <f>INDEX($A$145:$H$158,MATCH($L148,$B$145:$B$158,0),MATCH($AA$144,$A$145:$H$145,0))*고양시_Modal_split!I$3 * 0.01</f>
        <v>205.87676232158665</v>
      </c>
      <c r="AH148" s="207">
        <f>INDEX($A$145:$H$158,MATCH($L148,$B$145:$B$158,0),MATCH($AA$144,$A$145:$H$145,0))*고양시_Modal_split!J$3 * 0.01</f>
        <v>2254.2764910320498</v>
      </c>
      <c r="AI148" s="207">
        <f>INDEX($A$145:$H$158,MATCH($L148,$B$145:$B$158,0),MATCH($AA$144,$A$145:$H$145,0))*고양시_Modal_split!K$3 * 0.01</f>
        <v>11.108458398646762</v>
      </c>
      <c r="AJ148" s="207">
        <f>INDEX($A$145:$H$158,MATCH($L148,$B$145:$B$158,0),MATCH($AA$144,$A$145:$H$145,0))*고양시_Modal_split!L$3 * 0.01</f>
        <v>223.65029575942151</v>
      </c>
      <c r="AK148" s="207">
        <f>INDEX($A$145:$H$158,MATCH($L148,$B$145:$B$158,0),MATCH($AA$144,$A$145:$H$145,0))*고양시_Modal_split!M$3 * 0.01</f>
        <v>17.032969544591701</v>
      </c>
      <c r="AL148" s="207">
        <f>INDEX($A$145:$H$158,MATCH($L148,$B$145:$B$158,0),MATCH($AA$144,$A$145:$H$145,0))*고양시_Modal_split!N$3 * 0.01</f>
        <v>7.4056389324311747</v>
      </c>
      <c r="AM148" s="207">
        <f>INDEX($A$145:$H$158,MATCH($L148,$B$145:$B$158,0),MATCH($AA$144,$A$145:$H$145,0))*고양시_Modal_split!O$3 * 0.01</f>
        <v>13.330150078376114</v>
      </c>
      <c r="AN148" s="207">
        <f>INDEX($A$145:$H$158,MATCH($L148,$B$145:$B$158,0),MATCH($AA$144,$A$145:$H$145,0))*고양시_Modal_split!P$3 * 0.01</f>
        <v>7405.6389324311749</v>
      </c>
      <c r="AO148" s="303">
        <f>INDEX($A$145:$H$158,MATCH($L148,$B$145:$B$158,0),MATCH($AO$144,$A$145:$H$145,0))*고양시_Modal_split!C$3 * 0.01</f>
        <v>1.1895608901622101</v>
      </c>
      <c r="AP148" s="303">
        <f>INDEX($A$145:$H$158,MATCH($L148,$B$145:$B$158,0),MATCH($AO$144,$A$145:$H$145,0))*고양시_Modal_split!D$3 * 0.01</f>
        <v>199.80374522974552</v>
      </c>
      <c r="AQ148" s="303">
        <f>INDEX($A$145:$H$158,MATCH($L148,$B$145:$B$158,0),MATCH($AO$144,$A$145:$H$145,0))*고양시_Modal_split!E$3 * 0.01</f>
        <v>24.173576660796339</v>
      </c>
      <c r="AR148" s="303">
        <f>INDEX($A$145:$H$158,MATCH($L148,$B$145:$B$158,0),MATCH($AO$144,$A$145:$H$145,0))*고양시_Modal_split!F$3 * 0.01</f>
        <v>38.95811915281238</v>
      </c>
      <c r="AS148" s="303">
        <f>INDEX($A$145:$H$158,MATCH($L148,$B$145:$B$158,0),MATCH($AO$144,$A$145:$H$145,0))*고양시_Modal_split!G$3 * 0.01</f>
        <v>3.9085572105329756</v>
      </c>
      <c r="AT148" s="303">
        <f>INDEX($A$145:$H$158,MATCH($L148,$B$145:$B$158,0),MATCH($AO$144,$A$145:$H$145,0))*고양시_Modal_split!H$3 * 0.01</f>
        <v>4.2484317505793213E-2</v>
      </c>
      <c r="AU148" s="303">
        <f>INDEX($A$145:$H$158,MATCH($L148,$B$145:$B$158,0),MATCH($AO$144,$A$145:$H$145,0))*고양시_Modal_split!I$3 * 0.01</f>
        <v>11.810640266610514</v>
      </c>
      <c r="AV148" s="303">
        <f>INDEX($A$145:$H$158,MATCH($L148,$B$145:$B$158,0),MATCH($AO$144,$A$145:$H$145,0))*고양시_Modal_split!J$3 * 0.01</f>
        <v>129.32226248763456</v>
      </c>
      <c r="AW148" s="303">
        <f>INDEX($A$145:$H$158,MATCH($L148,$B$145:$B$158,0),MATCH($AO$144,$A$145:$H$145,0))*고양시_Modal_split!K$3 * 0.01</f>
        <v>0.63726476258689824</v>
      </c>
      <c r="AX148" s="303">
        <f>INDEX($A$145:$H$158,MATCH($L148,$B$145:$B$158,0),MATCH($AO$144,$A$145:$H$145,0))*고양시_Modal_split!L$3 * 0.01</f>
        <v>12.830263886749551</v>
      </c>
      <c r="AY148" s="303">
        <f>INDEX($A$145:$H$158,MATCH($L148,$B$145:$B$158,0),MATCH($AO$144,$A$145:$H$145,0))*고양시_Modal_split!M$3 * 0.01</f>
        <v>0.97713930263324389</v>
      </c>
      <c r="AZ148" s="303">
        <f>INDEX($A$145:$H$158,MATCH($L148,$B$145:$B$158,0),MATCH($AO$144,$A$145:$H$145,0))*고양시_Modal_split!N$3 * 0.01</f>
        <v>0.42484317505793223</v>
      </c>
      <c r="BA148" s="207">
        <f>INDEX($A$145:$H$158,MATCH($L148,$B$145:$B$158,0),MATCH($AO$144,$A$145:$H$145,0))*고양시_Modal_split!O$3 * 0.01</f>
        <v>0.76471771510427788</v>
      </c>
      <c r="BB148" s="207">
        <f>INDEX($A$145:$H$158,MATCH($L148,$B$145:$B$158,0),MATCH($AO$144,$A$145:$H$145,0))*고양시_Modal_split!P$3 * 0.01</f>
        <v>424.84317505793217</v>
      </c>
      <c r="BC148" s="207">
        <f>INDEX($A$145:$H$158,MATCH($L148,$B$145:$B$158,0),MATCH($BC$144,$A$145:$H$145,0))*고양시_Modal_split!C$3 * 0.01</f>
        <v>1.8693989892543956E-3</v>
      </c>
      <c r="BD148" s="207">
        <f>INDEX($A$145:$H$158,MATCH($L148,$B$145:$B$158,0),MATCH($BC$144,$A$145:$H$145,0))*고양시_Modal_split!D$3 * 0.01</f>
        <v>0.31399226594512231</v>
      </c>
      <c r="BE148" s="207">
        <f>INDEX($A$145:$H$158,MATCH($L148,$B$145:$B$158,0),MATCH($BC$144,$A$145:$H$145,0))*고양시_Modal_split!E$3 * 0.01</f>
        <v>3.7988858031633974E-2</v>
      </c>
      <c r="BF148" s="207">
        <f>INDEX($A$145:$H$158,MATCH($L148,$B$145:$B$158,0),MATCH($BC$144,$A$145:$H$145,0))*고양시_Modal_split!F$3 * 0.01</f>
        <v>6.1222816898081463E-2</v>
      </c>
      <c r="BG148" s="207">
        <f>INDEX($A$145:$H$158,MATCH($L148,$B$145:$B$158,0),MATCH($BC$144,$A$145:$H$145,0))*고양시_Modal_split!G$3 * 0.01</f>
        <v>6.1423109646930145E-3</v>
      </c>
      <c r="BH148" s="207">
        <f>INDEX($A$145:$H$158,MATCH($L148,$B$145:$B$158,0),MATCH($BC$144,$A$145:$H$145,0))*고양시_Modal_split!H$3 * 0.01</f>
        <v>6.676424961622843E-5</v>
      </c>
      <c r="BI148" s="207">
        <f>INDEX($A$145:$H$158,MATCH($L148,$B$145:$B$158,0),MATCH($BC$144,$A$145:$H$145,0))*고양시_Modal_split!I$3 * 0.01</f>
        <v>1.8560461393311502E-2</v>
      </c>
      <c r="BJ148" s="207">
        <f>INDEX($A$145:$H$158,MATCH($L148,$B$145:$B$158,0),MATCH($BC$144,$A$145:$H$145,0))*고양시_Modal_split!J$3 * 0.01</f>
        <v>0.20323037583179931</v>
      </c>
      <c r="BK148" s="207">
        <f>INDEX($A$145:$H$158,MATCH($L148,$B$145:$B$158,0),MATCH($BC$144,$A$145:$H$145,0))*고양시_Modal_split!K$3 * 0.01</f>
        <v>1.0014637442434262E-3</v>
      </c>
      <c r="BL148" s="207">
        <f>INDEX($A$145:$H$158,MATCH($L148,$B$145:$B$158,0),MATCH($BC$144,$A$145:$H$145,0))*고양시_Modal_split!L$3 * 0.01</f>
        <v>2.0162803384100984E-2</v>
      </c>
      <c r="BM148" s="207">
        <f>INDEX($A$145:$H$158,MATCH($L148,$B$145:$B$158,0),MATCH($BC$144,$A$145:$H$145,0))*고양시_Modal_split!M$3 * 0.01</f>
        <v>1.5355777411732536E-3</v>
      </c>
      <c r="BN148" s="207">
        <f>INDEX($A$145:$H$158,MATCH($L148,$B$145:$B$158,0),MATCH($BC$144,$A$145:$H$145,0))*고양시_Modal_split!N$3 * 0.01</f>
        <v>6.676424961622843E-4</v>
      </c>
      <c r="BO148" s="207">
        <f>INDEX($A$145:$H$158,MATCH($L148,$B$145:$B$158,0),MATCH($BC$144,$A$145:$H$145,0))*고양시_Modal_split!O$3 * 0.01</f>
        <v>1.2017564930921116E-3</v>
      </c>
      <c r="BP148" s="207">
        <f>INDEX($A$145:$H$158,MATCH($L148,$B$145:$B$158,0),MATCH($BC$144,$A$145:$H$145,0))*고양시_Modal_split!P$3 * 0.01</f>
        <v>0.66764249616228433</v>
      </c>
      <c r="BQ148" s="207">
        <f>INDEX($A$145:$H$158,MATCH($L148,$B$145:$B$158,0),MATCH($BQ$144,$A$145:$H$145,0))*고양시_Modal_split!C$3 * 0.01</f>
        <v>7.0621739594054714E-3</v>
      </c>
      <c r="BR148" s="207">
        <f>INDEX($A$145:$H$158,MATCH($L148,$B$145:$B$158,0),MATCH($BQ$144,$A$145:$H$145,0))*고양시_Modal_split!D$3 * 0.01</f>
        <v>1.1861930046815692</v>
      </c>
      <c r="BS148" s="207">
        <f>INDEX($A$145:$H$158,MATCH($L148,$B$145:$B$158,0),MATCH($BQ$144,$A$145:$H$145,0))*고양시_Modal_split!E$3 * 0.01</f>
        <v>0.14351346367506118</v>
      </c>
      <c r="BT148" s="207">
        <f>INDEX($A$145:$H$158,MATCH($L148,$B$145:$B$158,0),MATCH($BQ$144,$A$145:$H$145,0))*고양시_Modal_split!F$3 * 0.01</f>
        <v>0.2312861971705292</v>
      </c>
      <c r="BU148" s="207">
        <f>INDEX($A$145:$H$158,MATCH($L148,$B$145:$B$158,0),MATCH($BQ$144,$A$145:$H$145,0))*고양시_Modal_split!G$3 * 0.01</f>
        <v>2.3204285866617977E-2</v>
      </c>
      <c r="BV148" s="207">
        <f>INDEX($A$145:$H$158,MATCH($L148,$B$145:$B$158,0),MATCH($BQ$144,$A$145:$H$145,0))*고양시_Modal_split!H$3 * 0.01</f>
        <v>2.5222049855019542E-4</v>
      </c>
      <c r="BW148" s="207">
        <f>INDEX($A$145:$H$158,MATCH($L148,$B$145:$B$158,0),MATCH($BQ$144,$A$145:$H$145,0))*고양시_Modal_split!I$3 * 0.01</f>
        <v>7.0117298596954328E-2</v>
      </c>
      <c r="BX148" s="207">
        <f>INDEX($A$145:$H$158,MATCH($L148,$B$145:$B$158,0),MATCH($BQ$144,$A$145:$H$145,0))*고양시_Modal_split!J$3 * 0.01</f>
        <v>0.76775919758679489</v>
      </c>
      <c r="BY148" s="207">
        <f>INDEX($A$145:$H$158,MATCH($L148,$B$145:$B$158,0),MATCH($BQ$144,$A$145:$H$145,0))*고양시_Modal_split!K$3 * 0.01</f>
        <v>3.7833074782529313E-3</v>
      </c>
      <c r="BZ148" s="207">
        <f>INDEX($A$145:$H$158,MATCH($L148,$B$145:$B$158,0),MATCH($BQ$144,$A$145:$H$145,0))*고양시_Modal_split!L$3 * 0.01</f>
        <v>7.617059056215901E-2</v>
      </c>
      <c r="CA148" s="207">
        <f>INDEX($A$145:$H$158,MATCH($L148,$B$145:$B$158,0),MATCH($BQ$144,$A$145:$H$145,0))*고양시_Modal_split!M$3 * 0.01</f>
        <v>5.8010714666544942E-3</v>
      </c>
      <c r="CB148" s="207">
        <f>INDEX($A$145:$H$158,MATCH($L148,$B$145:$B$158,0),MATCH($BQ$144,$A$145:$H$145,0))*고양시_Modal_split!N$3 * 0.01</f>
        <v>2.522204985501954E-3</v>
      </c>
      <c r="CC148" s="207">
        <f>INDEX($A$145:$H$158,MATCH($L148,$B$145:$B$158,0),MATCH($BQ$144,$A$145:$H$145,0))*고양시_Modal_split!O$3 * 0.01</f>
        <v>4.539968973903517E-3</v>
      </c>
      <c r="CD148" s="207">
        <f>INDEX($A$145:$H$158,MATCH($L148,$B$145:$B$158,0),MATCH($BQ$144,$A$145:$H$145,0))*고양시_Modal_split!P$3 * 0.01</f>
        <v>2.5222049855019542</v>
      </c>
      <c r="CE148" s="304">
        <f t="shared" si="84"/>
        <v>24.799446991448708</v>
      </c>
      <c r="CF148" s="304">
        <f t="shared" si="64"/>
        <v>4165.4214000279744</v>
      </c>
      <c r="CG148" s="304">
        <f t="shared" si="65"/>
        <v>503.96019064765414</v>
      </c>
      <c r="CH148" s="304">
        <f t="shared" si="66"/>
        <v>812.18188896994536</v>
      </c>
      <c r="CI148" s="304">
        <f t="shared" si="67"/>
        <v>81.483897257617187</v>
      </c>
      <c r="CJ148" s="304">
        <f t="shared" si="68"/>
        <v>0.88569453540888265</v>
      </c>
      <c r="CK148" s="304">
        <f t="shared" si="69"/>
        <v>246.22308084366935</v>
      </c>
      <c r="CL148" s="304">
        <f t="shared" si="70"/>
        <v>2696.0541657846384</v>
      </c>
      <c r="CM148" s="304">
        <f t="shared" si="71"/>
        <v>13.28541803113324</v>
      </c>
      <c r="CN148" s="304">
        <f t="shared" si="72"/>
        <v>267.47974969348257</v>
      </c>
      <c r="CO148" s="304">
        <f t="shared" si="73"/>
        <v>20.370974314404297</v>
      </c>
      <c r="CP148" s="304">
        <f t="shared" si="74"/>
        <v>8.8569453540888254</v>
      </c>
      <c r="CQ148" s="304">
        <f t="shared" si="75"/>
        <v>15.942501637359886</v>
      </c>
      <c r="CR148" s="304">
        <f t="shared" si="76"/>
        <v>8856.9453540888262</v>
      </c>
      <c r="CS148" s="305">
        <f t="shared" si="85"/>
        <v>0</v>
      </c>
      <c r="CV148" s="265"/>
      <c r="CW148" s="265" t="s">
        <v>669</v>
      </c>
      <c r="CX148" s="267">
        <f>INDEX($M$144:$Z$158,MATCH($CW148,$L$144:$L$158,0),MATCH(CX$145,$M$145:$Z$145,0))/INDEX(고양시_재차인원!$D$4:$H$35,MATCH("고양시",고양시_재차인원!$B$4:$B$35,0),MATCH($CX$144,고양시_재차인원!$D$4:$H$4,0))</f>
        <v>429.6834639332331</v>
      </c>
      <c r="CY148" s="267">
        <f>INDEX($M$144:$Z$158,MATCH($CW148,$L$144:$L$158,0),MATCH(CY$145,$M$145:$Z$145,0))/INDEX(고양시_재차인원!$K$4:$O$20,MATCH("경기도",고양시_재차인원!$K$4:$K$20,0),MATCH(CY$145,고양시_재차인원!$K$4:$O$4,0))</f>
        <v>3.5542667562280471E-3</v>
      </c>
      <c r="CZ148" s="267">
        <f>INDEX($M$144:$Z$158,MATCH($CW148,$L$144:$L$158,0),MATCH(CZ$145,$M$145:$Z$145,0))/INDEX(고양시_재차인원!$K$4:$O$20,MATCH("경기도",고양시_재차인원!$K$4:$K$20,0),MATCH(CZ$145,고양시_재차인원!$K$4:$O$4,0))</f>
        <v>0.98808615823139689</v>
      </c>
      <c r="DA148" s="267">
        <f>INDEX($M$144:$Z$158,MATCH($CW148,$L$144:$L$158,0),MATCH(DA$145,$M$145:$Z$145,0))/INDEX(고양시_재차인원!$D$4:$H$35,MATCH("고양시",고양시_재차인원!$B$4:$B$35,0),MATCH($CX$144,고양시_재차인원!$D$4:$H$4,0))</f>
        <v>27.591836297647539</v>
      </c>
      <c r="DB148" s="267">
        <f>INDEX($AA$144:$AN$158,MATCH($CW148,$L$144:$L$158,0),MATCH(DB$145,$AA$145:$AN$145,0))/INDEX(고양시_재차인원!$D$4:$H$35,MATCH("고양시",고양시_재차인원!$B$4:$B$35,0),MATCH($DB$144,고양시_재차인원!$D$4:$H$4,0))</f>
        <v>2470.121978668356</v>
      </c>
      <c r="DC148" s="267">
        <f>INDEX($AA$144:$AN$158,MATCH($CW148,$L$144:$L$158,0),MATCH(DC$145,$AA$145:$AN$145,0))/INDEX(고양시_재차인원!$K$4:$O$20,MATCH("경기도",고양시_재차인원!$K$4:$K$20,0),MATCH(DC$145,고양시_재차인원!$K$4:$O$4,0))</f>
        <v>2.5722955652765458E-2</v>
      </c>
      <c r="DD148" s="267">
        <f>INDEX($AA$144:$AN$158,MATCH($CW148,$L$144:$L$158,0),MATCH(DD$145,$AA$145:$AN$145,0))/INDEX(고양시_재차인원!$K$4:$O$20,MATCH("경기도",고양시_재차인원!$K$4:$K$20,0),MATCH(DD$145,고양시_재차인원!$K$4:$O$4,0))</f>
        <v>7.1509816714687968</v>
      </c>
      <c r="DE148" s="267">
        <f>INDEX($AA$144:$AN$158,MATCH($CW148,$L$144:$L$158,0),MATCH(DE$145,$AA$145:$AN$145,0))/INDEX(고양시_재차인원!$D$4:$H$35,MATCH("고양시",고양시_재차인원!$B$4:$B$35,0),MATCH($DB$144,고양시_재차인원!$D$4:$H$4,0))</f>
        <v>158.61723103505074</v>
      </c>
      <c r="DF148" s="267">
        <f>INDEX($AO$144:$BB$158,MATCH($CW148,$L$144:$L$158,0),MATCH(DF$145,$AO$145:$BB$145,0))/INDEX(고양시_재차인원!$D$4:$H$35,MATCH("고양시",고양시_재차인원!$B$4:$B$35,0),MATCH($DF$144,고양시_재차인원!$D$4:$H$4,0))</f>
        <v>153.69518863826579</v>
      </c>
      <c r="DG148" s="267">
        <f>INDEX($AO$144:$BB$158,MATCH($CW148,$L$144:$L$158,0),MATCH(DG$145,$AO$145:$BB$145,0))/INDEX(고양시_재차인원!$K$4:$O$20,MATCH("경기도",고양시_재차인원!$K$4:$K$20,0),MATCH(DG$145,고양시_재차인원!$K$4:$O$4,0))</f>
        <v>1.4756622961373121E-3</v>
      </c>
      <c r="DH148" s="267">
        <f>INDEX($AO$144:$BB$158,MATCH($CW148,$L$144:$L$158,0),MATCH(DH$145,$AO$145:$BB$145,0))/INDEX(고양시_재차인원!$K$4:$O$20,MATCH("경기도",고양시_재차인원!$K$4:$K$20,0),MATCH(DH$145,고양시_재차인원!$K$4:$O$4,0))</f>
        <v>0.41023411832617279</v>
      </c>
      <c r="DI148" s="267">
        <f>INDEX($AO$144:$BB$158,MATCH($CW148,$L$144:$L$158,0),MATCH(DI$145,$AO$145:$BB$145,0))/INDEX(고양시_재차인원!$D$4:$H$35,MATCH("고양시",고양시_재차인원!$B$4:$B$35,0),MATCH($DF$144,고양시_재차인원!$D$4:$H$4,0))</f>
        <v>9.8694337590381149</v>
      </c>
      <c r="DJ148" s="267">
        <f>INDEX($BC$144:$BP$158,MATCH($CW148,$L$144:$L$158,0),MATCH(DJ$145,$BC$145:$BP$145,0))/INDEX(고양시_재차인원!$D$4:$H$35,MATCH("고양시",고양시_재차인원!$B$4:$B$35,0),MATCH($DJ$144,고양시_재차인원!$D$4:$H$4,0))</f>
        <v>0.23087666613611932</v>
      </c>
      <c r="DK148" s="267">
        <f>INDEX($BC$144:$BP$158,MATCH($CW148,$L$144:$L$158,0),MATCH(DK$145,$BC$145:$BP$145,0))/INDEX(고양시_재차인원!$K$4:$O$20,MATCH("경기도",고양시_재차인원!$K$4:$K$20,0),MATCH(DK$145,고양시_재차인원!$K$4:$O$4,0))</f>
        <v>2.3190083228978266E-6</v>
      </c>
      <c r="DL148" s="267">
        <f>INDEX($BC$144:$BP$158,MATCH($CW148,$L$144:$L$158,0),MATCH(DL$145,$BC$145:$BP$145,0))/INDEX(고양시_재차인원!$K$4:$O$20,MATCH("경기도",고양시_재차인원!$K$4:$K$20,0),MATCH(DL$145,고양시_재차인원!$K$4:$O$4,0))</f>
        <v>6.4468431376559572E-4</v>
      </c>
      <c r="DM148" s="267">
        <f>INDEX($BC$144:$BP$158,MATCH($CW148,$L$144:$L$158,0),MATCH(DM$145,$BC$145:$BP$145,0))/INDEX(고양시_재차인원!$D$4:$H$35,MATCH("고양시",고양시_재차인원!$B$4:$B$35,0),MATCH($DJ$144,고양시_재차인원!$D$4:$H$4,0))</f>
        <v>1.4825590723603663E-2</v>
      </c>
      <c r="DN148" s="267">
        <f>INDEX($BQ$144:$CD$158,MATCH($CW148,$L$144:$L$158,0),MATCH(DN$145,$BQ$145:$CD$145,0))/INDEX(고양시_재차인원!$D$4:$H$35,MATCH("고양시",고양시_재차인원!$B$4:$B$35,0),MATCH($DN$144,고양시_재차인원!$D$4:$H$4,0))</f>
        <v>0.94142301958854702</v>
      </c>
      <c r="DO148" s="267">
        <f>INDEX($BQ$144:$CD$158,MATCH($CW148,$L$144:$L$158,0),MATCH(DO$145,$BQ$145:$CD$145,0))/INDEX(고양시_재차인원!$K$4:$O$20,MATCH("경기도",고양시_재차인원!$K$4:$K$20,0),MATCH(DO$145,고양시_재차인원!$K$4:$O$4,0))</f>
        <v>8.7606981087250934E-6</v>
      </c>
      <c r="DP148" s="267">
        <f>INDEX($BQ$144:$CD$158,MATCH($CW148,$L$144:$L$158,0),MATCH(DP$145,$BQ$145:$CD$145,0))/INDEX(고양시_재차인원!$K$4:$O$20,MATCH("경기도",고양시_재차인원!$K$4:$K$20,0),MATCH(DP$145,고양시_재차인원!$K$4:$O$4,0))</f>
        <v>2.4354740742255757E-3</v>
      </c>
      <c r="DQ148" s="267">
        <f>INDEX($BQ$144:$CD$158,MATCH($CW148,$L$144:$L$158,0),MATCH(DQ$145,$BQ$145:$CD$145,0))/INDEX(고양시_재차인원!$D$4:$H$35,MATCH("고양시",고양시_재차인원!$B$4:$B$35,0),MATCH($DN$144,고양시_재차인원!$D$4:$H$4,0))</f>
        <v>6.0452849652507148E-2</v>
      </c>
      <c r="DR148" s="270">
        <f t="shared" si="86"/>
        <v>3054.6729309255797</v>
      </c>
      <c r="DS148" s="270">
        <f t="shared" si="77"/>
        <v>3.0763964411562438E-2</v>
      </c>
      <c r="DT148" s="270">
        <f t="shared" si="78"/>
        <v>8.5523821064143579</v>
      </c>
      <c r="DU148" s="270">
        <f t="shared" si="79"/>
        <v>196.15377953211251</v>
      </c>
      <c r="DW148" s="278"/>
      <c r="DX148" s="278" t="s">
        <v>669</v>
      </c>
      <c r="DY148" s="281">
        <f t="shared" si="87"/>
        <v>3250.8267104576921</v>
      </c>
      <c r="DZ148" s="281">
        <f t="shared" si="88"/>
        <v>8.5831460708259204</v>
      </c>
      <c r="EB148" s="278"/>
      <c r="EC148" s="278" t="s">
        <v>669</v>
      </c>
      <c r="ED148" s="281">
        <f t="shared" si="89"/>
        <v>3250.8267104576921</v>
      </c>
      <c r="EE148" s="281">
        <f t="shared" si="80"/>
        <v>8.5831460708259204</v>
      </c>
      <c r="EL148" s="306" t="s">
        <v>12</v>
      </c>
      <c r="EM148" s="306" t="s">
        <v>359</v>
      </c>
      <c r="EN148" s="306">
        <v>5055.2204000000002</v>
      </c>
      <c r="EO148" s="306">
        <v>7.5479196375319413E-2</v>
      </c>
      <c r="EP148" s="307">
        <v>849103</v>
      </c>
      <c r="EQ148" s="308">
        <f t="shared" si="90"/>
        <v>14.98935207142582</v>
      </c>
      <c r="ER148" s="308">
        <f t="shared" si="91"/>
        <v>3.9576332359460377E-2</v>
      </c>
      <c r="ET148" s="420" t="s">
        <v>12</v>
      </c>
      <c r="EU148" s="420" t="s">
        <v>359</v>
      </c>
      <c r="EV148" s="420">
        <v>5055.2204000000002</v>
      </c>
      <c r="EW148" s="420">
        <v>7.5479196375319413E-2</v>
      </c>
      <c r="EX148" s="421">
        <v>849103</v>
      </c>
      <c r="EY148" s="422">
        <f t="shared" si="92"/>
        <v>14.562155537390185</v>
      </c>
      <c r="EZ148" s="422">
        <f t="shared" si="81"/>
        <v>3.8448406887215757E-2</v>
      </c>
      <c r="FA148">
        <v>0</v>
      </c>
      <c r="FD148" s="306" t="s">
        <v>12</v>
      </c>
      <c r="FE148" s="306" t="s">
        <v>359</v>
      </c>
      <c r="FF148" s="306">
        <v>5055.2204000000002</v>
      </c>
      <c r="FG148" s="306">
        <v>7.5479196375319413E-2</v>
      </c>
      <c r="FH148" s="307">
        <v>849103</v>
      </c>
      <c r="FI148" s="308">
        <f t="shared" si="82"/>
        <v>14.562155537390185</v>
      </c>
      <c r="FJ148" s="308">
        <f t="shared" si="83"/>
        <v>3.8448406887215757E-2</v>
      </c>
      <c r="FL148" s="101"/>
      <c r="FM148" s="101"/>
      <c r="FN148" s="101"/>
      <c r="FO148" s="101"/>
      <c r="FP148" s="374"/>
      <c r="FQ148" s="404"/>
      <c r="FR148" s="404"/>
    </row>
    <row r="149" spans="1:174" ht="25">
      <c r="A149" s="205"/>
      <c r="B149" s="205" t="s">
        <v>671</v>
      </c>
      <c r="C149" s="400">
        <f>$AB64*KTDB_TripDistribution_2040!T$12 * (1+KTDB_발생량도착량_증가율!$C$7*2) * (1+KTDB_발생량도착량_증가율!$D$8*5)* (1+KTDB_발생량도착량_증가율!$E$8*5)* (1+KTDB_발생량도착량_증가율!$F$8*5)</f>
        <v>164.54470819055942</v>
      </c>
      <c r="D149" s="400">
        <f>$AB64*KTDB_TripDistribution_2040!U$12 * (1+KTDB_발생량도착량_증가율!$C$7*2) * (1+KTDB_발생량도착량_증가율!$D$8*5)* (1+KTDB_발생량도착량_증가율!$E$8*5)* (1+KTDB_발생량도착량_증가율!$F$8*5)</f>
        <v>1190.8437160115686</v>
      </c>
      <c r="E149" s="400">
        <f>$AB64*KTDB_TripDistribution_2040!V$12 * (1+KTDB_발생량도착량_증가율!$C$7*2) * (1+KTDB_발생량도착량_증가율!$D$8*5)* (1+KTDB_발생량도착량_증가율!$E$8*5)* (1+KTDB_발생량도착량_증가율!$F$8*5)</f>
        <v>68.315756401865755</v>
      </c>
      <c r="F149" s="400">
        <f>$AB64*KTDB_TripDistribution_2040!W$12 * (1+KTDB_발생량도착량_증가율!$C$7*2) * (1+KTDB_발생량도착량_증가율!$D$8*5)* (1+KTDB_발생량도착량_증가율!$E$8*5)* (1+KTDB_발생량도착량_증가율!$F$8*5)</f>
        <v>0.10735844379549396</v>
      </c>
      <c r="G149" s="400">
        <f>$AB64*KTDB_TripDistribution_2040!X$12 * (1+KTDB_발생량도착량_증가율!$C$7*2) * (1+KTDB_발생량도착량_증가율!$D$8*5)* (1+KTDB_발생량도착량_증가율!$E$8*5)* (1+KTDB_발생량도착량_증가율!$F$8*5)</f>
        <v>0.40557634322742026</v>
      </c>
      <c r="H149" s="400">
        <f>$AB64*KTDB_TripDistribution_2040!Y$12 * (1+KTDB_발생량도착량_증가율!$C$7*2) * (1+KTDB_발생량도착량_증가율!$D$8*5)* (1+KTDB_발생량도착량_증가율!$E$8*5)* (1+KTDB_발생량도착량_증가율!$F$8*5)</f>
        <v>1424.2171153910172</v>
      </c>
      <c r="J149" s="230">
        <f t="shared" si="63"/>
        <v>1424.2171153910167</v>
      </c>
      <c r="K149" s="206"/>
      <c r="L149" s="206" t="s">
        <v>671</v>
      </c>
      <c r="M149" s="206">
        <f>INDEX($A$145:$H$158,MATCH($L149,$B$145:$B$158,0),MATCH($M$144,$A$145:$H$145,0))*고양시_Modal_split!C$3 * 0.01</f>
        <v>0.46072518293356629</v>
      </c>
      <c r="N149" s="206">
        <f>INDEX($A$145:$H$158,MATCH($L149,$B$145:$B$158,0),MATCH($M$144,$A$145:$H$145,0))*고양시_Modal_split!D$3 * 0.01</f>
        <v>77.385376262020102</v>
      </c>
      <c r="O149" s="206">
        <f>INDEX($A$145:$H$158,MATCH($L149,$B$145:$B$158,0),MATCH($M$144,$A$145:$H$145,0))*고양시_Modal_split!E$3 * 0.01</f>
        <v>9.3625938960428297</v>
      </c>
      <c r="P149" s="206">
        <f>INDEX($A$145:$H$158,MATCH($L149,$B$145:$B$158,0),MATCH($M$144,$A$145:$H$145,0))*고양시_Modal_split!F$3 * 0.01</f>
        <v>15.088749741074299</v>
      </c>
      <c r="Q149" s="206">
        <f>INDEX($A$145:$H$158,MATCH($L149,$B$145:$B$158,0),MATCH($M$144,$A$145:$H$145,0))*고양시_Modal_split!G$3 * 0.01</f>
        <v>1.5138113153531467</v>
      </c>
      <c r="R149" s="206">
        <f>INDEX($A$145:$H$158,MATCH($L149,$B$145:$B$158,0),MATCH($M$144,$A$145:$H$145,0))*고양시_Modal_split!H$3 * 0.01</f>
        <v>1.6454470819055943E-2</v>
      </c>
      <c r="S149" s="206">
        <f>INDEX($A$145:$H$158,MATCH($L149,$B$145:$B$158,0),MATCH($M$144,$A$145:$H$145,0))*고양시_Modal_split!I$3 * 0.01</f>
        <v>4.5743428876975516</v>
      </c>
      <c r="T149" s="206">
        <f>INDEX($A$145:$H$158,MATCH($L149,$B$145:$B$158,0),MATCH($M$144,$A$145:$H$145,0))*고양시_Modal_split!J$3 * 0.01</f>
        <v>50.087409173206289</v>
      </c>
      <c r="U149" s="206">
        <f>INDEX($A$145:$H$158,MATCH($L149,$B$145:$B$158,0),MATCH($M$144,$A$145:$H$145,0))*고양시_Modal_split!K$3 * 0.01</f>
        <v>0.24681706228583913</v>
      </c>
      <c r="V149" s="206">
        <f>INDEX($A$145:$H$158,MATCH($L149,$B$145:$B$158,0),MATCH($M$144,$A$145:$H$145,0))*고양시_Modal_split!L$3 * 0.01</f>
        <v>4.9692501873548949</v>
      </c>
      <c r="W149" s="206">
        <f>INDEX($A$145:$H$158,MATCH($L149,$B$145:$B$158,0),MATCH($M$144,$A$145:$H$145,0))*고양시_Modal_split!M$3 * 0.01</f>
        <v>0.37845282883828668</v>
      </c>
      <c r="X149" s="206">
        <f>INDEX($A$145:$H$158,MATCH($L149,$B$145:$B$158,0),MATCH($M$144,$A$145:$H$145,0))*고양시_Modal_split!N$3 * 0.01</f>
        <v>0.16454470819055941</v>
      </c>
      <c r="Y149" s="206">
        <f>INDEX($A$145:$H$158,MATCH($L149,$B$145:$B$158,0),MATCH($M$144,$A$145:$H$145,0))*고양시_Modal_split!O$3 * 0.01</f>
        <v>0.29618047474300696</v>
      </c>
      <c r="Z149" s="209">
        <f>INDEX($A$145:$H$158,MATCH($L149,$B$145:$B$158,0),MATCH($M$144,$A$145:$H$145,0))*고양시_Modal_split!P$3 * 0.01</f>
        <v>164.54470819055945</v>
      </c>
      <c r="AA149" s="207">
        <f>INDEX($A$145:$H$158,MATCH($L149,$B$145:$B$158,0),MATCH($AA$144,$A$145:$H$145,0))*고양시_Modal_split!C$3 * 0.01</f>
        <v>3.3343624048323921</v>
      </c>
      <c r="AB149" s="207">
        <f>INDEX($A$145:$H$158,MATCH($L149,$B$145:$B$158,0),MATCH($AA$144,$A$145:$H$145,0))*고양시_Modal_split!D$3 * 0.01</f>
        <v>560.05379964024075</v>
      </c>
      <c r="AC149" s="207">
        <f>INDEX($A$145:$H$158,MATCH($L149,$B$145:$B$158,0),MATCH($AA$144,$A$145:$H$145,0))*고양시_Modal_split!E$3 * 0.01</f>
        <v>67.759007441058245</v>
      </c>
      <c r="AD149" s="207">
        <f>INDEX($A$145:$H$158,MATCH($L149,$B$145:$B$158,0),MATCH($AA$144,$A$145:$H$145,0))*고양시_Modal_split!F$3 * 0.01</f>
        <v>109.20036875826085</v>
      </c>
      <c r="AE149" s="207">
        <f>INDEX($A$145:$H$158,MATCH($L149,$B$145:$B$158,0),MATCH($AA$144,$A$145:$H$145,0))*고양시_Modal_split!G$3 * 0.01</f>
        <v>10.95576218730643</v>
      </c>
      <c r="AF149" s="207">
        <f>INDEX($A$145:$H$158,MATCH($L149,$B$145:$B$158,0),MATCH($AA$144,$A$145:$H$145,0))*고양시_Modal_split!H$3 * 0.01</f>
        <v>0.11908437160115687</v>
      </c>
      <c r="AG149" s="207">
        <f>INDEX($A$145:$H$158,MATCH($L149,$B$145:$B$158,0),MATCH($AA$144,$A$145:$H$145,0))*고양시_Modal_split!I$3 * 0.01</f>
        <v>33.105455305121602</v>
      </c>
      <c r="AH149" s="207">
        <f>INDEX($A$145:$H$158,MATCH($L149,$B$145:$B$158,0),MATCH($AA$144,$A$145:$H$145,0))*고양시_Modal_split!J$3 * 0.01</f>
        <v>362.49282715392155</v>
      </c>
      <c r="AI149" s="207">
        <f>INDEX($A$145:$H$158,MATCH($L149,$B$145:$B$158,0),MATCH($AA$144,$A$145:$H$145,0))*고양시_Modal_split!K$3 * 0.01</f>
        <v>1.786265574017353</v>
      </c>
      <c r="AJ149" s="207">
        <f>INDEX($A$145:$H$158,MATCH($L149,$B$145:$B$158,0),MATCH($AA$144,$A$145:$H$145,0))*고양시_Modal_split!L$3 * 0.01</f>
        <v>35.963480223549375</v>
      </c>
      <c r="AK149" s="207">
        <f>INDEX($A$145:$H$158,MATCH($L149,$B$145:$B$158,0),MATCH($AA$144,$A$145:$H$145,0))*고양시_Modal_split!M$3 * 0.01</f>
        <v>2.7389405468266075</v>
      </c>
      <c r="AL149" s="207">
        <f>INDEX($A$145:$H$158,MATCH($L149,$B$145:$B$158,0),MATCH($AA$144,$A$145:$H$145,0))*고양시_Modal_split!N$3 * 0.01</f>
        <v>1.1908437160115688</v>
      </c>
      <c r="AM149" s="207">
        <f>INDEX($A$145:$H$158,MATCH($L149,$B$145:$B$158,0),MATCH($AA$144,$A$145:$H$145,0))*고양시_Modal_split!O$3 * 0.01</f>
        <v>2.1435186888208237</v>
      </c>
      <c r="AN149" s="207">
        <f>INDEX($A$145:$H$158,MATCH($L149,$B$145:$B$158,0),MATCH($AA$144,$A$145:$H$145,0))*고양시_Modal_split!P$3 * 0.01</f>
        <v>1190.8437160115686</v>
      </c>
      <c r="AO149" s="303">
        <f>INDEX($A$145:$H$158,MATCH($L149,$B$145:$B$158,0),MATCH($AO$144,$A$145:$H$145,0))*고양시_Modal_split!C$3 * 0.01</f>
        <v>0.1912841179252241</v>
      </c>
      <c r="AP149" s="303">
        <f>INDEX($A$145:$H$158,MATCH($L149,$B$145:$B$158,0),MATCH($AO$144,$A$145:$H$145,0))*고양시_Modal_split!D$3 * 0.01</f>
        <v>32.128900235797467</v>
      </c>
      <c r="AQ149" s="303">
        <f>INDEX($A$145:$H$158,MATCH($L149,$B$145:$B$158,0),MATCH($AO$144,$A$145:$H$145,0))*고양시_Modal_split!E$3 * 0.01</f>
        <v>3.8871665392661612</v>
      </c>
      <c r="AR149" s="303">
        <f>INDEX($A$145:$H$158,MATCH($L149,$B$145:$B$158,0),MATCH($AO$144,$A$145:$H$145,0))*고양시_Modal_split!F$3 * 0.01</f>
        <v>6.2645548620510896</v>
      </c>
      <c r="AS149" s="303">
        <f>INDEX($A$145:$H$158,MATCH($L149,$B$145:$B$158,0),MATCH($AO$144,$A$145:$H$145,0))*고양시_Modal_split!G$3 * 0.01</f>
        <v>0.62850495889716496</v>
      </c>
      <c r="AT149" s="303">
        <f>INDEX($A$145:$H$158,MATCH($L149,$B$145:$B$158,0),MATCH($AO$144,$A$145:$H$145,0))*고양시_Modal_split!H$3 * 0.01</f>
        <v>6.8315756401865759E-3</v>
      </c>
      <c r="AU149" s="303">
        <f>INDEX($A$145:$H$158,MATCH($L149,$B$145:$B$158,0),MATCH($AO$144,$A$145:$H$145,0))*고양시_Modal_split!I$3 * 0.01</f>
        <v>1.899178027971868</v>
      </c>
      <c r="AV149" s="303">
        <f>INDEX($A$145:$H$158,MATCH($L149,$B$145:$B$158,0),MATCH($AO$144,$A$145:$H$145,0))*고양시_Modal_split!J$3 * 0.01</f>
        <v>20.795316248727936</v>
      </c>
      <c r="AW149" s="303">
        <f>INDEX($A$145:$H$158,MATCH($L149,$B$145:$B$158,0),MATCH($AO$144,$A$145:$H$145,0))*고양시_Modal_split!K$3 * 0.01</f>
        <v>0.10247363460279862</v>
      </c>
      <c r="AX149" s="303">
        <f>INDEX($A$145:$H$158,MATCH($L149,$B$145:$B$158,0),MATCH($AO$144,$A$145:$H$145,0))*고양시_Modal_split!L$3 * 0.01</f>
        <v>2.063135843336346</v>
      </c>
      <c r="AY149" s="303">
        <f>INDEX($A$145:$H$158,MATCH($L149,$B$145:$B$158,0),MATCH($AO$144,$A$145:$H$145,0))*고양시_Modal_split!M$3 * 0.01</f>
        <v>0.15712623972429124</v>
      </c>
      <c r="AZ149" s="303">
        <f>INDEX($A$145:$H$158,MATCH($L149,$B$145:$B$158,0),MATCH($AO$144,$A$145:$H$145,0))*고양시_Modal_split!N$3 * 0.01</f>
        <v>6.8315756401865754E-2</v>
      </c>
      <c r="BA149" s="207">
        <f>INDEX($A$145:$H$158,MATCH($L149,$B$145:$B$158,0),MATCH($AO$144,$A$145:$H$145,0))*고양시_Modal_split!O$3 * 0.01</f>
        <v>0.12296836152335835</v>
      </c>
      <c r="BB149" s="207">
        <f>INDEX($A$145:$H$158,MATCH($L149,$B$145:$B$158,0),MATCH($AO$144,$A$145:$H$145,0))*고양시_Modal_split!P$3 * 0.01</f>
        <v>68.315756401865755</v>
      </c>
      <c r="BC149" s="207">
        <f>INDEX($A$145:$H$158,MATCH($L149,$B$145:$B$158,0),MATCH($BC$144,$A$145:$H$145,0))*고양시_Modal_split!C$3 * 0.01</f>
        <v>3.0060364262738309E-4</v>
      </c>
      <c r="BD149" s="207">
        <f>INDEX($A$145:$H$158,MATCH($L149,$B$145:$B$158,0),MATCH($BC$144,$A$145:$H$145,0))*고양시_Modal_split!D$3 * 0.01</f>
        <v>5.0490676117020808E-2</v>
      </c>
      <c r="BE149" s="207">
        <f>INDEX($A$145:$H$158,MATCH($L149,$B$145:$B$158,0),MATCH($BC$144,$A$145:$H$145,0))*고양시_Modal_split!E$3 * 0.01</f>
        <v>6.1086954519636062E-3</v>
      </c>
      <c r="BF149" s="207">
        <f>INDEX($A$145:$H$158,MATCH($L149,$B$145:$B$158,0),MATCH($BC$144,$A$145:$H$145,0))*고양시_Modal_split!F$3 * 0.01</f>
        <v>9.8447692960467962E-3</v>
      </c>
      <c r="BG149" s="207">
        <f>INDEX($A$145:$H$158,MATCH($L149,$B$145:$B$158,0),MATCH($BC$144,$A$145:$H$145,0))*고양시_Modal_split!G$3 * 0.01</f>
        <v>9.8769768291854447E-4</v>
      </c>
      <c r="BH149" s="207">
        <f>INDEX($A$145:$H$158,MATCH($L149,$B$145:$B$158,0),MATCH($BC$144,$A$145:$H$145,0))*고양시_Modal_split!H$3 * 0.01</f>
        <v>1.0735844379549397E-5</v>
      </c>
      <c r="BI149" s="207">
        <f>INDEX($A$145:$H$158,MATCH($L149,$B$145:$B$158,0),MATCH($BC$144,$A$145:$H$145,0))*고양시_Modal_split!I$3 * 0.01</f>
        <v>2.9845647375147319E-3</v>
      </c>
      <c r="BJ149" s="207">
        <f>INDEX($A$145:$H$158,MATCH($L149,$B$145:$B$158,0),MATCH($BC$144,$A$145:$H$145,0))*고양시_Modal_split!J$3 * 0.01</f>
        <v>3.2679910291348362E-2</v>
      </c>
      <c r="BK149" s="207">
        <f>INDEX($A$145:$H$158,MATCH($L149,$B$145:$B$158,0),MATCH($BC$144,$A$145:$H$145,0))*고양시_Modal_split!K$3 * 0.01</f>
        <v>1.6103766569324092E-4</v>
      </c>
      <c r="BL149" s="207">
        <f>INDEX($A$145:$H$158,MATCH($L149,$B$145:$B$158,0),MATCH($BC$144,$A$145:$H$145,0))*고양시_Modal_split!L$3 * 0.01</f>
        <v>3.2422250026239176E-3</v>
      </c>
      <c r="BM149" s="207">
        <f>INDEX($A$145:$H$158,MATCH($L149,$B$145:$B$158,0),MATCH($BC$144,$A$145:$H$145,0))*고양시_Modal_split!M$3 * 0.01</f>
        <v>2.4692442072963612E-4</v>
      </c>
      <c r="BN149" s="207">
        <f>INDEX($A$145:$H$158,MATCH($L149,$B$145:$B$158,0),MATCH($BC$144,$A$145:$H$145,0))*고양시_Modal_split!N$3 * 0.01</f>
        <v>1.0735844379549396E-4</v>
      </c>
      <c r="BO149" s="207">
        <f>INDEX($A$145:$H$158,MATCH($L149,$B$145:$B$158,0),MATCH($BC$144,$A$145:$H$145,0))*고양시_Modal_split!O$3 * 0.01</f>
        <v>1.9324519883188914E-4</v>
      </c>
      <c r="BP149" s="207">
        <f>INDEX($A$145:$H$158,MATCH($L149,$B$145:$B$158,0),MATCH($BC$144,$A$145:$H$145,0))*고양시_Modal_split!P$3 * 0.01</f>
        <v>0.10735844379549397</v>
      </c>
      <c r="BQ149" s="207">
        <f>INDEX($A$145:$H$158,MATCH($L149,$B$145:$B$158,0),MATCH($BQ$144,$A$145:$H$145,0))*고양시_Modal_split!C$3 * 0.01</f>
        <v>1.1356137610367765E-3</v>
      </c>
      <c r="BR149" s="207">
        <f>INDEX($A$145:$H$158,MATCH($L149,$B$145:$B$158,0),MATCH($BQ$144,$A$145:$H$145,0))*고양시_Modal_split!D$3 * 0.01</f>
        <v>0.19074255421985575</v>
      </c>
      <c r="BS149" s="207">
        <f>INDEX($A$145:$H$158,MATCH($L149,$B$145:$B$158,0),MATCH($BQ$144,$A$145:$H$145,0))*고양시_Modal_split!E$3 * 0.01</f>
        <v>2.3077293929640211E-2</v>
      </c>
      <c r="BT149" s="207">
        <f>INDEX($A$145:$H$158,MATCH($L149,$B$145:$B$158,0),MATCH($BQ$144,$A$145:$H$145,0))*고양시_Modal_split!F$3 * 0.01</f>
        <v>3.7191350673954439E-2</v>
      </c>
      <c r="BU149" s="207">
        <f>INDEX($A$145:$H$158,MATCH($L149,$B$145:$B$158,0),MATCH($BQ$144,$A$145:$H$145,0))*고양시_Modal_split!G$3 * 0.01</f>
        <v>3.7313023576922661E-3</v>
      </c>
      <c r="BV149" s="207">
        <f>INDEX($A$145:$H$158,MATCH($L149,$B$145:$B$158,0),MATCH($BQ$144,$A$145:$H$145,0))*고양시_Modal_split!H$3 * 0.01</f>
        <v>4.0557634322742029E-5</v>
      </c>
      <c r="BW149" s="207">
        <f>INDEX($A$145:$H$158,MATCH($L149,$B$145:$B$158,0),MATCH($BQ$144,$A$145:$H$145,0))*고양시_Modal_split!I$3 * 0.01</f>
        <v>1.1275022341722283E-2</v>
      </c>
      <c r="BX149" s="207">
        <f>INDEX($A$145:$H$158,MATCH($L149,$B$145:$B$158,0),MATCH($BQ$144,$A$145:$H$145,0))*고양시_Modal_split!J$3 * 0.01</f>
        <v>0.12345743887842674</v>
      </c>
      <c r="BY149" s="207">
        <f>INDEX($A$145:$H$158,MATCH($L149,$B$145:$B$158,0),MATCH($BQ$144,$A$145:$H$145,0))*고양시_Modal_split!K$3 * 0.01</f>
        <v>6.0836451484113036E-4</v>
      </c>
      <c r="BZ149" s="207">
        <f>INDEX($A$145:$H$158,MATCH($L149,$B$145:$B$158,0),MATCH($BQ$144,$A$145:$H$145,0))*고양시_Modal_split!L$3 * 0.01</f>
        <v>1.2248405565468093E-2</v>
      </c>
      <c r="CA149" s="207">
        <f>INDEX($A$145:$H$158,MATCH($L149,$B$145:$B$158,0),MATCH($BQ$144,$A$145:$H$145,0))*고양시_Modal_split!M$3 * 0.01</f>
        <v>9.3282558942306654E-4</v>
      </c>
      <c r="CB149" s="207">
        <f>INDEX($A$145:$H$158,MATCH($L149,$B$145:$B$158,0),MATCH($BQ$144,$A$145:$H$145,0))*고양시_Modal_split!N$3 * 0.01</f>
        <v>4.0557634322742033E-4</v>
      </c>
      <c r="CC149" s="207">
        <f>INDEX($A$145:$H$158,MATCH($L149,$B$145:$B$158,0),MATCH($BQ$144,$A$145:$H$145,0))*고양시_Modal_split!O$3 * 0.01</f>
        <v>7.3003741780935645E-4</v>
      </c>
      <c r="CD149" s="207">
        <f>INDEX($A$145:$H$158,MATCH($L149,$B$145:$B$158,0),MATCH($BQ$144,$A$145:$H$145,0))*고양시_Modal_split!P$3 * 0.01</f>
        <v>0.40557634322742026</v>
      </c>
      <c r="CE149" s="304">
        <f t="shared" si="84"/>
        <v>3.9878079230948464</v>
      </c>
      <c r="CF149" s="304">
        <f t="shared" si="64"/>
        <v>669.80930936839513</v>
      </c>
      <c r="CG149" s="304">
        <f t="shared" si="65"/>
        <v>81.037953865748833</v>
      </c>
      <c r="CH149" s="304">
        <f t="shared" si="66"/>
        <v>130.60070948135626</v>
      </c>
      <c r="CI149" s="304">
        <f t="shared" si="67"/>
        <v>13.102797461597353</v>
      </c>
      <c r="CJ149" s="304">
        <f t="shared" si="68"/>
        <v>0.14242171153910166</v>
      </c>
      <c r="CK149" s="304">
        <f t="shared" si="69"/>
        <v>39.593235807870265</v>
      </c>
      <c r="CL149" s="304">
        <f t="shared" si="70"/>
        <v>433.53168992502555</v>
      </c>
      <c r="CM149" s="304">
        <f t="shared" si="71"/>
        <v>2.136325673086525</v>
      </c>
      <c r="CN149" s="304">
        <f t="shared" si="72"/>
        <v>43.011356884808706</v>
      </c>
      <c r="CO149" s="304">
        <f t="shared" si="73"/>
        <v>3.2756993653993383</v>
      </c>
      <c r="CP149" s="304">
        <f t="shared" si="74"/>
        <v>1.4242171153910166</v>
      </c>
      <c r="CQ149" s="304">
        <f t="shared" si="75"/>
        <v>2.5635908077038301</v>
      </c>
      <c r="CR149" s="304">
        <f t="shared" si="76"/>
        <v>1424.2171153910167</v>
      </c>
      <c r="CS149" s="305">
        <f t="shared" si="85"/>
        <v>0</v>
      </c>
      <c r="CV149" s="265"/>
      <c r="CW149" s="265" t="s">
        <v>671</v>
      </c>
      <c r="CX149" s="267">
        <f>INDEX($M$144:$Z$158,MATCH($CW149,$L$144:$L$158,0),MATCH(CX$145,$M$145:$Z$145,0))/INDEX(고양시_재차인원!$D$4:$H$35,MATCH("고양시",고양시_재차인원!$B$4:$B$35,0),MATCH($CX$144,고양시_재차인원!$D$4:$H$4,0))</f>
        <v>69.094085948232234</v>
      </c>
      <c r="CY149" s="267">
        <f>INDEX($M$144:$Z$158,MATCH($CW149,$L$144:$L$158,0),MATCH(CY$145,$M$145:$Z$145,0))/INDEX(고양시_재차인원!$K$4:$O$20,MATCH("경기도",고양시_재차인원!$K$4:$K$20,0),MATCH(CY$145,고양시_재차인원!$K$4:$O$4,0))</f>
        <v>5.7153424171781672E-4</v>
      </c>
      <c r="CZ149" s="267">
        <f>INDEX($M$144:$Z$158,MATCH($CW149,$L$144:$L$158,0),MATCH(CZ$145,$M$145:$Z$145,0))/INDEX(고양시_재차인원!$K$4:$O$20,MATCH("경기도",고양시_재차인원!$K$4:$K$20,0),MATCH(CZ$145,고양시_재차인원!$K$4:$O$4,0))</f>
        <v>0.15888651919755303</v>
      </c>
      <c r="DA149" s="267">
        <f>INDEX($M$144:$Z$158,MATCH($CW149,$L$144:$L$158,0),MATCH(DA$145,$M$145:$Z$145,0))/INDEX(고양시_재차인원!$D$4:$H$35,MATCH("고양시",고양시_재차인원!$B$4:$B$35,0),MATCH($CX$144,고양시_재차인원!$D$4:$H$4,0))</f>
        <v>4.4368305244240132</v>
      </c>
      <c r="DB149" s="267">
        <f>INDEX($AA$144:$AN$158,MATCH($CW149,$L$144:$L$158,0),MATCH(DB$145,$AA$145:$AN$145,0))/INDEX(고양시_재차인원!$D$4:$H$35,MATCH("고양시",고양시_재차인원!$B$4:$B$35,0),MATCH($DB$144,고양시_재차인원!$D$4:$H$4,0))</f>
        <v>397.20127634059628</v>
      </c>
      <c r="DC149" s="267">
        <f>INDEX($AA$144:$AN$158,MATCH($CW149,$L$144:$L$158,0),MATCH(DC$145,$AA$145:$AN$145,0))/INDEX(고양시_재차인원!$K$4:$O$20,MATCH("경기도",고양시_재차인원!$K$4:$K$20,0),MATCH(DC$145,고양시_재차인원!$K$4:$O$4,0))</f>
        <v>4.1363102327598772E-3</v>
      </c>
      <c r="DD149" s="267">
        <f>INDEX($AA$144:$AN$158,MATCH($CW149,$L$144:$L$158,0),MATCH(DD$145,$AA$145:$AN$145,0))/INDEX(고양시_재차인원!$K$4:$O$20,MATCH("경기도",고양시_재차인원!$K$4:$K$20,0),MATCH(DD$145,고양시_재차인원!$K$4:$O$4,0))</f>
        <v>1.1498942447072458</v>
      </c>
      <c r="DE149" s="267">
        <f>INDEX($AA$144:$AN$158,MATCH($CW149,$L$144:$L$158,0),MATCH(DE$145,$AA$145:$AN$145,0))/INDEX(고양시_재차인원!$D$4:$H$35,MATCH("고양시",고양시_재차인원!$B$4:$B$35,0),MATCH($DB$144,고양시_재차인원!$D$4:$H$4,0))</f>
        <v>25.506014342942819</v>
      </c>
      <c r="DF149" s="267">
        <f>INDEX($AO$144:$BB$158,MATCH($CW149,$L$144:$L$158,0),MATCH(DF$145,$AO$145:$BB$145,0))/INDEX(고양시_재차인원!$D$4:$H$35,MATCH("고양시",고양시_재차인원!$B$4:$B$35,0),MATCH($DF$144,고양시_재차인원!$D$4:$H$4,0))</f>
        <v>24.714538642921127</v>
      </c>
      <c r="DG149" s="267">
        <f>INDEX($AO$144:$BB$158,MATCH($CW149,$L$144:$L$158,0),MATCH(DG$145,$AO$145:$BB$145,0))/INDEX(고양시_재차인원!$K$4:$O$20,MATCH("경기도",고양시_재차인원!$K$4:$K$20,0),MATCH(DG$145,고양시_재차인원!$K$4:$O$4,0))</f>
        <v>2.3728987982586232E-4</v>
      </c>
      <c r="DH149" s="267">
        <f>INDEX($AO$144:$BB$158,MATCH($CW149,$L$144:$L$158,0),MATCH(DH$145,$AO$145:$BB$145,0))/INDEX(고양시_재차인원!$K$4:$O$20,MATCH("경기도",고양시_재차인원!$K$4:$K$20,0),MATCH(DH$145,고양시_재차인원!$K$4:$O$4,0))</f>
        <v>6.5966586591589715E-2</v>
      </c>
      <c r="DI149" s="267">
        <f>INDEX($AO$144:$BB$158,MATCH($CW149,$L$144:$L$158,0),MATCH(DI$145,$AO$145:$BB$145,0))/INDEX(고양시_재차인원!$D$4:$H$35,MATCH("고양시",고양시_재차인원!$B$4:$B$35,0),MATCH($DF$144,고양시_재차인원!$D$4:$H$4,0))</f>
        <v>1.5870275717971891</v>
      </c>
      <c r="DJ149" s="267">
        <f>INDEX($BC$144:$BP$158,MATCH($CW149,$L$144:$L$158,0),MATCH(DJ$145,$BC$145:$BP$145,0))/INDEX(고양시_재차인원!$D$4:$H$35,MATCH("고양시",고양시_재차인원!$B$4:$B$35,0),MATCH($DJ$144,고양시_재차인원!$D$4:$H$4,0))</f>
        <v>3.7125497144868236E-2</v>
      </c>
      <c r="DK149" s="267">
        <f>INDEX($BC$144:$BP$158,MATCH($CW149,$L$144:$L$158,0),MATCH(DK$145,$BC$145:$BP$145,0))/INDEX(고양시_재차인원!$K$4:$O$20,MATCH("경기도",고양시_재차인원!$K$4:$K$20,0),MATCH(DK$145,고양시_재차인원!$K$4:$O$4,0))</f>
        <v>3.7290185410036113E-7</v>
      </c>
      <c r="DL149" s="267">
        <f>INDEX($BC$144:$BP$158,MATCH($CW149,$L$144:$L$158,0),MATCH(DL$145,$BC$145:$BP$145,0))/INDEX(고양시_재차인원!$K$4:$O$20,MATCH("경기도",고양시_재차인원!$K$4:$K$20,0),MATCH(DL$145,고양시_재차인원!$K$4:$O$4,0))</f>
        <v>1.0366671543990038E-4</v>
      </c>
      <c r="DM149" s="267">
        <f>INDEX($BC$144:$BP$158,MATCH($CW149,$L$144:$L$158,0),MATCH(DM$145,$BC$145:$BP$145,0))/INDEX(고양시_재차인원!$D$4:$H$35,MATCH("고양시",고양시_재차인원!$B$4:$B$35,0),MATCH($DJ$144,고양시_재차인원!$D$4:$H$4,0))</f>
        <v>2.3839889725175865E-3</v>
      </c>
      <c r="DN149" s="267">
        <f>INDEX($BQ$144:$CD$158,MATCH($CW149,$L$144:$L$158,0),MATCH(DN$145,$BQ$145:$CD$145,0))/INDEX(고양시_재차인원!$D$4:$H$35,MATCH("고양시",고양시_재차인원!$B$4:$B$35,0),MATCH($DN$144,고양시_재차인원!$D$4:$H$4,0))</f>
        <v>0.15138297953956806</v>
      </c>
      <c r="DO149" s="267">
        <f>INDEX($BQ$144:$CD$158,MATCH($CW149,$L$144:$L$158,0),MATCH(DO$145,$BQ$145:$CD$145,0))/INDEX(고양시_재차인원!$K$4:$O$20,MATCH("경기도",고양시_재차인원!$K$4:$K$20,0),MATCH(DO$145,고양시_재차인원!$K$4:$O$4,0))</f>
        <v>1.4087403377124706E-6</v>
      </c>
      <c r="DP149" s="267">
        <f>INDEX($BQ$144:$CD$158,MATCH($CW149,$L$144:$L$158,0),MATCH(DP$145,$BQ$145:$CD$145,0))/INDEX(고양시_재차인원!$K$4:$O$20,MATCH("경기도",고양시_재차인원!$K$4:$K$20,0),MATCH(DP$145,고양시_재차인원!$K$4:$O$4,0))</f>
        <v>3.916298138840668E-4</v>
      </c>
      <c r="DQ149" s="267">
        <f>INDEX($BQ$144:$CD$158,MATCH($CW149,$L$144:$L$158,0),MATCH(DQ$145,$BQ$145:$CD$145,0))/INDEX(고양시_재차인원!$D$4:$H$35,MATCH("고양시",고양시_재차인원!$B$4:$B$35,0),MATCH($DN$144,고양시_재차인원!$D$4:$H$4,0))</f>
        <v>9.7209567979905497E-3</v>
      </c>
      <c r="DR149" s="270">
        <f t="shared" si="86"/>
        <v>491.19840940843409</v>
      </c>
      <c r="DS149" s="270">
        <f t="shared" si="77"/>
        <v>4.9469159964953694E-3</v>
      </c>
      <c r="DT149" s="270">
        <f t="shared" si="78"/>
        <v>1.3752426470257124</v>
      </c>
      <c r="DU149" s="270">
        <f t="shared" si="79"/>
        <v>31.541977384934533</v>
      </c>
      <c r="DW149" s="278"/>
      <c r="DX149" s="278" t="s">
        <v>671</v>
      </c>
      <c r="DY149" s="281">
        <f t="shared" si="87"/>
        <v>522.74038679336866</v>
      </c>
      <c r="DZ149" s="281">
        <f t="shared" si="88"/>
        <v>1.3801895630222079</v>
      </c>
      <c r="EB149" s="278"/>
      <c r="EC149" s="278" t="s">
        <v>671</v>
      </c>
      <c r="ED149" s="281">
        <f t="shared" si="89"/>
        <v>522.74038679336866</v>
      </c>
      <c r="EE149" s="281">
        <f t="shared" si="80"/>
        <v>1.3801895630222079</v>
      </c>
      <c r="EL149" s="306" t="s">
        <v>12</v>
      </c>
      <c r="EM149" s="306" t="s">
        <v>360</v>
      </c>
      <c r="EN149" s="306">
        <v>6559.1377000000002</v>
      </c>
      <c r="EO149" s="306">
        <v>9.7934096505675777E-2</v>
      </c>
      <c r="EP149" s="307">
        <v>849104</v>
      </c>
      <c r="EQ149" s="308">
        <f t="shared" si="90"/>
        <v>19.448652381261592</v>
      </c>
      <c r="ER149" s="308">
        <f t="shared" si="91"/>
        <v>5.1350206928003871E-2</v>
      </c>
      <c r="ET149" s="420" t="s">
        <v>12</v>
      </c>
      <c r="EU149" s="420" t="s">
        <v>360</v>
      </c>
      <c r="EV149" s="420">
        <v>6559.1377000000002</v>
      </c>
      <c r="EW149" s="420">
        <v>9.7934096505675777E-2</v>
      </c>
      <c r="EX149" s="421">
        <v>849104</v>
      </c>
      <c r="EY149" s="422">
        <f t="shared" si="92"/>
        <v>18.894365788395639</v>
      </c>
      <c r="EZ149" s="422">
        <f t="shared" si="81"/>
        <v>4.9886726030555759E-2</v>
      </c>
      <c r="FA149">
        <v>0</v>
      </c>
      <c r="FD149" s="306" t="s">
        <v>12</v>
      </c>
      <c r="FE149" s="306" t="s">
        <v>360</v>
      </c>
      <c r="FF149" s="306">
        <v>6559.1377000000002</v>
      </c>
      <c r="FG149" s="306">
        <v>9.7934096505675777E-2</v>
      </c>
      <c r="FH149" s="307">
        <v>849104</v>
      </c>
      <c r="FI149" s="308">
        <f t="shared" si="82"/>
        <v>18.894365788395639</v>
      </c>
      <c r="FJ149" s="308">
        <f t="shared" si="83"/>
        <v>4.9886726030555759E-2</v>
      </c>
      <c r="FL149" s="101"/>
      <c r="FM149" s="101"/>
      <c r="FN149" s="101"/>
      <c r="FO149" s="101"/>
      <c r="FP149" s="374"/>
      <c r="FQ149" s="404"/>
      <c r="FR149" s="404"/>
    </row>
    <row r="150" spans="1:174" ht="25">
      <c r="A150" s="205"/>
      <c r="B150" s="205" t="s">
        <v>673</v>
      </c>
      <c r="C150" s="400">
        <f>$AB65*KTDB_TripDistribution_2040!T$12 * (1+KTDB_발생량도착량_증가율!$C$7*2) * (1+KTDB_발생량도착량_증가율!$D$8*5)* (1+KTDB_발생량도착량_증가율!$E$8*5)* (1+KTDB_발생량도착량_증가율!$F$8*5)</f>
        <v>287.98255948818144</v>
      </c>
      <c r="D150" s="400">
        <f>$AB65*KTDB_TripDistribution_2040!U$12 * (1+KTDB_발생량도착량_증가율!$C$7*2) * (1+KTDB_발생량도착량_증가율!$D$8*5)* (1+KTDB_발생량도착량_증가율!$E$8*5)* (1+KTDB_발생량도착량_증가율!$F$8*5)</f>
        <v>2084.1886989781942</v>
      </c>
      <c r="E150" s="400">
        <f>$AB65*KTDB_TripDistribution_2040!V$12 * (1+KTDB_발생량도착량_증가율!$C$7*2) * (1+KTDB_발생량도착량_증가율!$D$8*5)* (1+KTDB_발생량도착량_증가율!$E$8*5)* (1+KTDB_발생량도착량_증가율!$F$8*5)</f>
        <v>119.56474686014352</v>
      </c>
      <c r="F150" s="400">
        <f>$AB65*KTDB_TripDistribution_2040!W$12 * (1+KTDB_발생량도착량_증가율!$C$7*2) * (1+KTDB_발생량도착량_증가율!$D$8*5)* (1+KTDB_발생량도착량_증가율!$E$8*5)* (1+KTDB_발생량도착량_증가율!$F$8*5)</f>
        <v>0.1878964067995976</v>
      </c>
      <c r="G150" s="400">
        <f>$AB65*KTDB_TripDistribution_2040!X$12 * (1+KTDB_발생량도착량_증가율!$C$7*2) * (1+KTDB_발생량도착량_증가율!$D$8*5)* (1+KTDB_발생량도착량_증가율!$E$8*5)* (1+KTDB_발생량도착량_증가율!$F$8*5)</f>
        <v>0.70983087013181079</v>
      </c>
      <c r="H150" s="400">
        <f>$AB65*KTDB_TripDistribution_2040!Y$12 * (1+KTDB_발생량도착량_증가율!$C$7*2) * (1+KTDB_발생량도착량_증가율!$D$8*5)* (1+KTDB_발생량도착량_증가율!$E$8*5)* (1+KTDB_발생량도착량_증가율!$F$8*5)</f>
        <v>2492.6337326034518</v>
      </c>
      <c r="J150" s="230">
        <f t="shared" si="63"/>
        <v>2492.6337326034509</v>
      </c>
      <c r="K150" s="206"/>
      <c r="L150" s="206" t="s">
        <v>673</v>
      </c>
      <c r="M150" s="206">
        <f>INDEX($A$145:$H$158,MATCH($L150,$B$145:$B$158,0),MATCH($M$144,$A$145:$H$145,0))*고양시_Modal_split!C$3 * 0.01</f>
        <v>0.80635116656690797</v>
      </c>
      <c r="N150" s="206">
        <f>INDEX($A$145:$H$158,MATCH($L150,$B$145:$B$158,0),MATCH($M$144,$A$145:$H$145,0))*고양시_Modal_split!D$3 * 0.01</f>
        <v>135.43819772729174</v>
      </c>
      <c r="O150" s="206">
        <f>INDEX($A$145:$H$158,MATCH($L150,$B$145:$B$158,0),MATCH($M$144,$A$145:$H$145,0))*고양시_Modal_split!E$3 * 0.01</f>
        <v>16.386207634877522</v>
      </c>
      <c r="P150" s="206">
        <f>INDEX($A$145:$H$158,MATCH($L150,$B$145:$B$158,0),MATCH($M$144,$A$145:$H$145,0))*고양시_Modal_split!F$3 * 0.01</f>
        <v>26.40800070506624</v>
      </c>
      <c r="Q150" s="206">
        <f>INDEX($A$145:$H$158,MATCH($L150,$B$145:$B$158,0),MATCH($M$144,$A$145:$H$145,0))*고양시_Modal_split!G$3 * 0.01</f>
        <v>2.6494395472912693</v>
      </c>
      <c r="R150" s="206">
        <f>INDEX($A$145:$H$158,MATCH($L150,$B$145:$B$158,0),MATCH($M$144,$A$145:$H$145,0))*고양시_Modal_split!H$3 * 0.01</f>
        <v>2.8798255948818144E-2</v>
      </c>
      <c r="S150" s="206">
        <f>INDEX($A$145:$H$158,MATCH($L150,$B$145:$B$158,0),MATCH($M$144,$A$145:$H$145,0))*고양시_Modal_split!I$3 * 0.01</f>
        <v>8.0059151537714435</v>
      </c>
      <c r="T150" s="206">
        <f>INDEX($A$145:$H$158,MATCH($L150,$B$145:$B$158,0),MATCH($M$144,$A$145:$H$145,0))*고양시_Modal_split!J$3 * 0.01</f>
        <v>87.66189110820244</v>
      </c>
      <c r="U150" s="206">
        <f>INDEX($A$145:$H$158,MATCH($L150,$B$145:$B$158,0),MATCH($M$144,$A$145:$H$145,0))*고양시_Modal_split!K$3 * 0.01</f>
        <v>0.43197383923227217</v>
      </c>
      <c r="V150" s="206">
        <f>INDEX($A$145:$H$158,MATCH($L150,$B$145:$B$158,0),MATCH($M$144,$A$145:$H$145,0))*고양시_Modal_split!L$3 * 0.01</f>
        <v>8.6970732965430795</v>
      </c>
      <c r="W150" s="206">
        <f>INDEX($A$145:$H$158,MATCH($L150,$B$145:$B$158,0),MATCH($M$144,$A$145:$H$145,0))*고양시_Modal_split!M$3 * 0.01</f>
        <v>0.66235988682281732</v>
      </c>
      <c r="X150" s="206">
        <f>INDEX($A$145:$H$158,MATCH($L150,$B$145:$B$158,0),MATCH($M$144,$A$145:$H$145,0))*고양시_Modal_split!N$3 * 0.01</f>
        <v>0.28798255948818147</v>
      </c>
      <c r="Y150" s="206">
        <f>INDEX($A$145:$H$158,MATCH($L150,$B$145:$B$158,0),MATCH($M$144,$A$145:$H$145,0))*고양시_Modal_split!O$3 * 0.01</f>
        <v>0.51836860707872656</v>
      </c>
      <c r="Z150" s="209">
        <f>INDEX($A$145:$H$158,MATCH($L150,$B$145:$B$158,0),MATCH($M$144,$A$145:$H$145,0))*고양시_Modal_split!P$3 * 0.01</f>
        <v>287.98255948818144</v>
      </c>
      <c r="AA150" s="207">
        <f>INDEX($A$145:$H$158,MATCH($L150,$B$145:$B$158,0),MATCH($AA$144,$A$145:$H$145,0))*고양시_Modal_split!C$3 * 0.01</f>
        <v>5.8357283571389429</v>
      </c>
      <c r="AB150" s="207">
        <f>INDEX($A$145:$H$158,MATCH($L150,$B$145:$B$158,0),MATCH($AA$144,$A$145:$H$145,0))*고양시_Modal_split!D$3 * 0.01</f>
        <v>980.19394512944473</v>
      </c>
      <c r="AC150" s="207">
        <f>INDEX($A$145:$H$158,MATCH($L150,$B$145:$B$158,0),MATCH($AA$144,$A$145:$H$145,0))*고양시_Modal_split!E$3 * 0.01</f>
        <v>118.59033697185923</v>
      </c>
      <c r="AD150" s="207">
        <f>INDEX($A$145:$H$158,MATCH($L150,$B$145:$B$158,0),MATCH($AA$144,$A$145:$H$145,0))*고양시_Modal_split!F$3 * 0.01</f>
        <v>191.12010369630039</v>
      </c>
      <c r="AE150" s="207">
        <f>INDEX($A$145:$H$158,MATCH($L150,$B$145:$B$158,0),MATCH($AA$144,$A$145:$H$145,0))*고양시_Modal_split!G$3 * 0.01</f>
        <v>19.174536030599388</v>
      </c>
      <c r="AF150" s="207">
        <f>INDEX($A$145:$H$158,MATCH($L150,$B$145:$B$158,0),MATCH($AA$144,$A$145:$H$145,0))*고양시_Modal_split!H$3 * 0.01</f>
        <v>0.20841886989781944</v>
      </c>
      <c r="AG150" s="207">
        <f>INDEX($A$145:$H$158,MATCH($L150,$B$145:$B$158,0),MATCH($AA$144,$A$145:$H$145,0))*고양시_Modal_split!I$3 * 0.01</f>
        <v>57.940445831593799</v>
      </c>
      <c r="AH150" s="207">
        <f>INDEX($A$145:$H$158,MATCH($L150,$B$145:$B$158,0),MATCH($AA$144,$A$145:$H$145,0))*고양시_Modal_split!J$3 * 0.01</f>
        <v>634.42703996896239</v>
      </c>
      <c r="AI150" s="207">
        <f>INDEX($A$145:$H$158,MATCH($L150,$B$145:$B$158,0),MATCH($AA$144,$A$145:$H$145,0))*고양시_Modal_split!K$3 * 0.01</f>
        <v>3.1262830484672914</v>
      </c>
      <c r="AJ150" s="207">
        <f>INDEX($A$145:$H$158,MATCH($L150,$B$145:$B$158,0),MATCH($AA$144,$A$145:$H$145,0))*고양시_Modal_split!L$3 * 0.01</f>
        <v>62.942498709141468</v>
      </c>
      <c r="AK150" s="207">
        <f>INDEX($A$145:$H$158,MATCH($L150,$B$145:$B$158,0),MATCH($AA$144,$A$145:$H$145,0))*고양시_Modal_split!M$3 * 0.01</f>
        <v>4.7936340076498469</v>
      </c>
      <c r="AL150" s="207">
        <f>INDEX($A$145:$H$158,MATCH($L150,$B$145:$B$158,0),MATCH($AA$144,$A$145:$H$145,0))*고양시_Modal_split!N$3 * 0.01</f>
        <v>2.0841886989781946</v>
      </c>
      <c r="AM150" s="207">
        <f>INDEX($A$145:$H$158,MATCH($L150,$B$145:$B$158,0),MATCH($AA$144,$A$145:$H$145,0))*고양시_Modal_split!O$3 * 0.01</f>
        <v>3.7515396581607496</v>
      </c>
      <c r="AN150" s="207">
        <f>INDEX($A$145:$H$158,MATCH($L150,$B$145:$B$158,0),MATCH($AA$144,$A$145:$H$145,0))*고양시_Modal_split!P$3 * 0.01</f>
        <v>2084.1886989781942</v>
      </c>
      <c r="AO150" s="303">
        <f>INDEX($A$145:$H$158,MATCH($L150,$B$145:$B$158,0),MATCH($AO$144,$A$145:$H$145,0))*고양시_Modal_split!C$3 * 0.01</f>
        <v>0.33478129120840178</v>
      </c>
      <c r="AP150" s="303">
        <f>INDEX($A$145:$H$158,MATCH($L150,$B$145:$B$158,0),MATCH($AO$144,$A$145:$H$145,0))*고양시_Modal_split!D$3 * 0.01</f>
        <v>56.231300448325499</v>
      </c>
      <c r="AQ150" s="303">
        <f>INDEX($A$145:$H$158,MATCH($L150,$B$145:$B$158,0),MATCH($AO$144,$A$145:$H$145,0))*고양시_Modal_split!E$3 * 0.01</f>
        <v>6.803234096342166</v>
      </c>
      <c r="AR150" s="303">
        <f>INDEX($A$145:$H$158,MATCH($L150,$B$145:$B$158,0),MATCH($AO$144,$A$145:$H$145,0))*고양시_Modal_split!F$3 * 0.01</f>
        <v>10.964087287075161</v>
      </c>
      <c r="AS150" s="303">
        <f>INDEX($A$145:$H$158,MATCH($L150,$B$145:$B$158,0),MATCH($AO$144,$A$145:$H$145,0))*고양시_Modal_split!G$3 * 0.01</f>
        <v>1.0999956711133203</v>
      </c>
      <c r="AT150" s="303">
        <f>INDEX($A$145:$H$158,MATCH($L150,$B$145:$B$158,0),MATCH($AO$144,$A$145:$H$145,0))*고양시_Modal_split!H$3 * 0.01</f>
        <v>1.1956474686014351E-2</v>
      </c>
      <c r="AU150" s="303">
        <f>INDEX($A$145:$H$158,MATCH($L150,$B$145:$B$158,0),MATCH($AO$144,$A$145:$H$145,0))*고양시_Modal_split!I$3 * 0.01</f>
        <v>3.3238999627119892</v>
      </c>
      <c r="AV150" s="303">
        <f>INDEX($A$145:$H$158,MATCH($L150,$B$145:$B$158,0),MATCH($AO$144,$A$145:$H$145,0))*고양시_Modal_split!J$3 * 0.01</f>
        <v>36.395508944227686</v>
      </c>
      <c r="AW150" s="303">
        <f>INDEX($A$145:$H$158,MATCH($L150,$B$145:$B$158,0),MATCH($AO$144,$A$145:$H$145,0))*고양시_Modal_split!K$3 * 0.01</f>
        <v>0.17934712029021527</v>
      </c>
      <c r="AX150" s="303">
        <f>INDEX($A$145:$H$158,MATCH($L150,$B$145:$B$158,0),MATCH($AO$144,$A$145:$H$145,0))*고양시_Modal_split!L$3 * 0.01</f>
        <v>3.6108553551763345</v>
      </c>
      <c r="AY150" s="303">
        <f>INDEX($A$145:$H$158,MATCH($L150,$B$145:$B$158,0),MATCH($AO$144,$A$145:$H$145,0))*고양시_Modal_split!M$3 * 0.01</f>
        <v>0.27499891777833008</v>
      </c>
      <c r="AZ150" s="303">
        <f>INDEX($A$145:$H$158,MATCH($L150,$B$145:$B$158,0),MATCH($AO$144,$A$145:$H$145,0))*고양시_Modal_split!N$3 * 0.01</f>
        <v>0.11956474686014353</v>
      </c>
      <c r="BA150" s="207">
        <f>INDEX($A$145:$H$158,MATCH($L150,$B$145:$B$158,0),MATCH($AO$144,$A$145:$H$145,0))*고양시_Modal_split!O$3 * 0.01</f>
        <v>0.21521654434825832</v>
      </c>
      <c r="BB150" s="207">
        <f>INDEX($A$145:$H$158,MATCH($L150,$B$145:$B$158,0),MATCH($AO$144,$A$145:$H$145,0))*고양시_Modal_split!P$3 * 0.01</f>
        <v>119.56474686014352</v>
      </c>
      <c r="BC150" s="207">
        <f>INDEX($A$145:$H$158,MATCH($L150,$B$145:$B$158,0),MATCH($BC$144,$A$145:$H$145,0))*고양시_Modal_split!C$3 * 0.01</f>
        <v>5.2610993903887322E-4</v>
      </c>
      <c r="BD150" s="207">
        <f>INDEX($A$145:$H$158,MATCH($L150,$B$145:$B$158,0),MATCH($BC$144,$A$145:$H$145,0))*고양시_Modal_split!D$3 * 0.01</f>
        <v>8.8367680117850761E-2</v>
      </c>
      <c r="BE150" s="207">
        <f>INDEX($A$145:$H$158,MATCH($L150,$B$145:$B$158,0),MATCH($BC$144,$A$145:$H$145,0))*고양시_Modal_split!E$3 * 0.01</f>
        <v>1.0691305546897104E-2</v>
      </c>
      <c r="BF150" s="207">
        <f>INDEX($A$145:$H$158,MATCH($L150,$B$145:$B$158,0),MATCH($BC$144,$A$145:$H$145,0))*고양시_Modal_split!F$3 * 0.01</f>
        <v>1.72301005035231E-2</v>
      </c>
      <c r="BG150" s="207">
        <f>INDEX($A$145:$H$158,MATCH($L150,$B$145:$B$158,0),MATCH($BC$144,$A$145:$H$145,0))*고양시_Modal_split!G$3 * 0.01</f>
        <v>1.7286469425562979E-3</v>
      </c>
      <c r="BH150" s="207">
        <f>INDEX($A$145:$H$158,MATCH($L150,$B$145:$B$158,0),MATCH($BC$144,$A$145:$H$145,0))*고양시_Modal_split!H$3 * 0.01</f>
        <v>1.8789640679959761E-5</v>
      </c>
      <c r="BI150" s="207">
        <f>INDEX($A$145:$H$158,MATCH($L150,$B$145:$B$158,0),MATCH($BC$144,$A$145:$H$145,0))*고양시_Modal_split!I$3 * 0.01</f>
        <v>5.2235201090288135E-3</v>
      </c>
      <c r="BJ150" s="207">
        <f>INDEX($A$145:$H$158,MATCH($L150,$B$145:$B$158,0),MATCH($BC$144,$A$145:$H$145,0))*고양시_Modal_split!J$3 * 0.01</f>
        <v>5.7195666229797507E-2</v>
      </c>
      <c r="BK150" s="207">
        <f>INDEX($A$145:$H$158,MATCH($L150,$B$145:$B$158,0),MATCH($BC$144,$A$145:$H$145,0))*고양시_Modal_split!K$3 * 0.01</f>
        <v>2.8184461019939639E-4</v>
      </c>
      <c r="BL150" s="207">
        <f>INDEX($A$145:$H$158,MATCH($L150,$B$145:$B$158,0),MATCH($BC$144,$A$145:$H$145,0))*고양시_Modal_split!L$3 * 0.01</f>
        <v>5.6744714853478474E-3</v>
      </c>
      <c r="BM150" s="207">
        <f>INDEX($A$145:$H$158,MATCH($L150,$B$145:$B$158,0),MATCH($BC$144,$A$145:$H$145,0))*고양시_Modal_split!M$3 * 0.01</f>
        <v>4.3216173563907448E-4</v>
      </c>
      <c r="BN150" s="207">
        <f>INDEX($A$145:$H$158,MATCH($L150,$B$145:$B$158,0),MATCH($BC$144,$A$145:$H$145,0))*고양시_Modal_split!N$3 * 0.01</f>
        <v>1.8789640679959762E-4</v>
      </c>
      <c r="BO150" s="207">
        <f>INDEX($A$145:$H$158,MATCH($L150,$B$145:$B$158,0),MATCH($BC$144,$A$145:$H$145,0))*고양시_Modal_split!O$3 * 0.01</f>
        <v>3.3821353223927568E-4</v>
      </c>
      <c r="BP150" s="207">
        <f>INDEX($A$145:$H$158,MATCH($L150,$B$145:$B$158,0),MATCH($BC$144,$A$145:$H$145,0))*고양시_Modal_split!P$3 * 0.01</f>
        <v>0.1878964067995976</v>
      </c>
      <c r="BQ150" s="207">
        <f>INDEX($A$145:$H$158,MATCH($L150,$B$145:$B$158,0),MATCH($BQ$144,$A$145:$H$145,0))*고양시_Modal_split!C$3 * 0.01</f>
        <v>1.9875264363690701E-3</v>
      </c>
      <c r="BR150" s="207">
        <f>INDEX($A$145:$H$158,MATCH($L150,$B$145:$B$158,0),MATCH($BQ$144,$A$145:$H$145,0))*고양시_Modal_split!D$3 * 0.01</f>
        <v>0.33383345822299065</v>
      </c>
      <c r="BS150" s="207">
        <f>INDEX($A$145:$H$158,MATCH($L150,$B$145:$B$158,0),MATCH($BQ$144,$A$145:$H$145,0))*고양시_Modal_split!E$3 * 0.01</f>
        <v>4.0389376510500029E-2</v>
      </c>
      <c r="BT150" s="207">
        <f>INDEX($A$145:$H$158,MATCH($L150,$B$145:$B$158,0),MATCH($BQ$144,$A$145:$H$145,0))*고양시_Modal_split!F$3 * 0.01</f>
        <v>6.5091490791087059E-2</v>
      </c>
      <c r="BU150" s="207">
        <f>INDEX($A$145:$H$158,MATCH($L150,$B$145:$B$158,0),MATCH($BQ$144,$A$145:$H$145,0))*고양시_Modal_split!G$3 * 0.01</f>
        <v>6.5304440052126591E-3</v>
      </c>
      <c r="BV150" s="207">
        <f>INDEX($A$145:$H$158,MATCH($L150,$B$145:$B$158,0),MATCH($BQ$144,$A$145:$H$145,0))*고양시_Modal_split!H$3 * 0.01</f>
        <v>7.0983087013181079E-5</v>
      </c>
      <c r="BW150" s="207">
        <f>INDEX($A$145:$H$158,MATCH($L150,$B$145:$B$158,0),MATCH($BQ$144,$A$145:$H$145,0))*고양시_Modal_split!I$3 * 0.01</f>
        <v>1.973329818966434E-2</v>
      </c>
      <c r="BX150" s="207">
        <f>INDEX($A$145:$H$158,MATCH($L150,$B$145:$B$158,0),MATCH($BQ$144,$A$145:$H$145,0))*고양시_Modal_split!J$3 * 0.01</f>
        <v>0.21607251686812323</v>
      </c>
      <c r="BY150" s="207">
        <f>INDEX($A$145:$H$158,MATCH($L150,$B$145:$B$158,0),MATCH($BQ$144,$A$145:$H$145,0))*고양시_Modal_split!K$3 * 0.01</f>
        <v>1.0647463051977162E-3</v>
      </c>
      <c r="BZ150" s="207">
        <f>INDEX($A$145:$H$158,MATCH($L150,$B$145:$B$158,0),MATCH($BQ$144,$A$145:$H$145,0))*고양시_Modal_split!L$3 * 0.01</f>
        <v>2.1436892277980686E-2</v>
      </c>
      <c r="CA150" s="207">
        <f>INDEX($A$145:$H$158,MATCH($L150,$B$145:$B$158,0),MATCH($BQ$144,$A$145:$H$145,0))*고양시_Modal_split!M$3 * 0.01</f>
        <v>1.6326110013031648E-3</v>
      </c>
      <c r="CB150" s="207">
        <f>INDEX($A$145:$H$158,MATCH($L150,$B$145:$B$158,0),MATCH($BQ$144,$A$145:$H$145,0))*고양시_Modal_split!N$3 * 0.01</f>
        <v>7.0983087013181084E-4</v>
      </c>
      <c r="CC150" s="207">
        <f>INDEX($A$145:$H$158,MATCH($L150,$B$145:$B$158,0),MATCH($BQ$144,$A$145:$H$145,0))*고양시_Modal_split!O$3 * 0.01</f>
        <v>1.2776955662372595E-3</v>
      </c>
      <c r="CD150" s="207">
        <f>INDEX($A$145:$H$158,MATCH($L150,$B$145:$B$158,0),MATCH($BQ$144,$A$145:$H$145,0))*고양시_Modal_split!P$3 * 0.01</f>
        <v>0.70983087013181079</v>
      </c>
      <c r="CE150" s="304">
        <f t="shared" si="84"/>
        <v>6.9793744512896607</v>
      </c>
      <c r="CF150" s="304">
        <f t="shared" si="64"/>
        <v>1172.2856444434028</v>
      </c>
      <c r="CG150" s="304">
        <f t="shared" si="65"/>
        <v>141.83085938513631</v>
      </c>
      <c r="CH150" s="304">
        <f t="shared" si="66"/>
        <v>228.57451327973638</v>
      </c>
      <c r="CI150" s="304">
        <f t="shared" si="67"/>
        <v>22.932230339951744</v>
      </c>
      <c r="CJ150" s="304">
        <f t="shared" si="68"/>
        <v>0.24926337326034506</v>
      </c>
      <c r="CK150" s="304">
        <f t="shared" si="69"/>
        <v>69.295217766375927</v>
      </c>
      <c r="CL150" s="304">
        <f t="shared" si="70"/>
        <v>758.75770820449043</v>
      </c>
      <c r="CM150" s="304">
        <f t="shared" si="71"/>
        <v>3.7389505989051757</v>
      </c>
      <c r="CN150" s="304">
        <f t="shared" si="72"/>
        <v>75.277538724624208</v>
      </c>
      <c r="CO150" s="304">
        <f t="shared" si="73"/>
        <v>5.7330575849879359</v>
      </c>
      <c r="CP150" s="304">
        <f t="shared" si="74"/>
        <v>2.4926337326034509</v>
      </c>
      <c r="CQ150" s="304">
        <f t="shared" si="75"/>
        <v>4.4867407186862112</v>
      </c>
      <c r="CR150" s="304">
        <f t="shared" si="76"/>
        <v>2492.6337326034509</v>
      </c>
      <c r="CS150" s="305">
        <f t="shared" si="85"/>
        <v>0</v>
      </c>
      <c r="CV150" s="265"/>
      <c r="CW150" s="265" t="s">
        <v>673</v>
      </c>
      <c r="CX150" s="267">
        <f>INDEX($M$144:$Z$158,MATCH($CW150,$L$144:$L$158,0),MATCH(CX$145,$M$145:$Z$145,0))/INDEX(고양시_재차인원!$D$4:$H$35,MATCH("고양시",고양시_재차인원!$B$4:$B$35,0),MATCH($CX$144,고양시_재차인원!$D$4:$H$4,0))</f>
        <v>120.92696225651046</v>
      </c>
      <c r="CY150" s="267">
        <f>INDEX($M$144:$Z$158,MATCH($CW150,$L$144:$L$158,0),MATCH(CY$145,$M$145:$Z$145,0))/INDEX(고양시_재차인원!$K$4:$O$20,MATCH("경기도",고양시_재차인원!$K$4:$K$20,0),MATCH(CY$145,고양시_재차인원!$K$4:$O$4,0))</f>
        <v>1.0002867644605122E-3</v>
      </c>
      <c r="CZ150" s="267">
        <f>INDEX($M$144:$Z$158,MATCH($CW150,$L$144:$L$158,0),MATCH(CZ$145,$M$145:$Z$145,0))/INDEX(고양시_재차인원!$K$4:$O$20,MATCH("경기도",고양시_재차인원!$K$4:$K$20,0),MATCH(CZ$145,고양시_재차인원!$K$4:$O$4,0))</f>
        <v>0.27807972052002233</v>
      </c>
      <c r="DA150" s="267">
        <f>INDEX($M$144:$Z$158,MATCH($CW150,$L$144:$L$158,0),MATCH(DA$145,$M$145:$Z$145,0))/INDEX(고양시_재차인원!$D$4:$H$35,MATCH("고양시",고양시_재차인원!$B$4:$B$35,0),MATCH($CX$144,고양시_재차인원!$D$4:$H$4,0))</f>
        <v>7.7652440147706061</v>
      </c>
      <c r="DB150" s="267">
        <f>INDEX($AA$144:$AN$158,MATCH($CW150,$L$144:$L$158,0),MATCH(DB$145,$AA$145:$AN$145,0))/INDEX(고양시_재차인원!$D$4:$H$35,MATCH("고양시",고양시_재차인원!$B$4:$B$35,0),MATCH($DB$144,고양시_재차인원!$D$4:$H$4,0))</f>
        <v>695.17301073010265</v>
      </c>
      <c r="DC150" s="267">
        <f>INDEX($AA$144:$AN$158,MATCH($CW150,$L$144:$L$158,0),MATCH(DC$145,$AA$145:$AN$145,0))/INDEX(고양시_재차인원!$K$4:$O$20,MATCH("경기도",고양시_재차인원!$K$4:$K$20,0),MATCH(DC$145,고양시_재차인원!$K$4:$O$4,0))</f>
        <v>7.2392799547696925E-3</v>
      </c>
      <c r="DD150" s="267">
        <f>INDEX($AA$144:$AN$158,MATCH($CW150,$L$144:$L$158,0),MATCH(DD$145,$AA$145:$AN$145,0))/INDEX(고양시_재차인원!$K$4:$O$20,MATCH("경기도",고양시_재차인원!$K$4:$K$20,0),MATCH(DD$145,고양시_재차인원!$K$4:$O$4,0))</f>
        <v>2.0125198274259741</v>
      </c>
      <c r="DE150" s="267">
        <f>INDEX($AA$144:$AN$158,MATCH($CW150,$L$144:$L$158,0),MATCH(DE$145,$AA$145:$AN$145,0))/INDEX(고양시_재차인원!$D$4:$H$35,MATCH("고양시",고양시_재차인원!$B$4:$B$35,0),MATCH($DB$144,고양시_재차인원!$D$4:$H$4,0))</f>
        <v>44.640070006483313</v>
      </c>
      <c r="DF150" s="267">
        <f>INDEX($AO$144:$BB$158,MATCH($CW150,$L$144:$L$158,0),MATCH(DF$145,$AO$145:$BB$145,0))/INDEX(고양시_재차인원!$D$4:$H$35,MATCH("고양시",고양시_재차인원!$B$4:$B$35,0),MATCH($DF$144,고양시_재차인원!$D$4:$H$4,0))</f>
        <v>43.25484649871192</v>
      </c>
      <c r="DG150" s="267">
        <f>INDEX($AO$144:$BB$158,MATCH($CW150,$L$144:$L$158,0),MATCH(DG$145,$AO$145:$BB$145,0))/INDEX(고양시_재차인원!$K$4:$O$20,MATCH("경기도",고양시_재차인원!$K$4:$K$20,0),MATCH(DG$145,고양시_재차인원!$K$4:$O$4,0))</f>
        <v>4.1529957228254085E-4</v>
      </c>
      <c r="DH150" s="267">
        <f>INDEX($AO$144:$BB$158,MATCH($CW150,$L$144:$L$158,0),MATCH(DH$145,$AO$145:$BB$145,0))/INDEX(고양시_재차인원!$K$4:$O$20,MATCH("경기도",고양시_재차인원!$K$4:$K$20,0),MATCH(DH$145,고양시_재차인원!$K$4:$O$4,0))</f>
        <v>0.11545328109454635</v>
      </c>
      <c r="DI150" s="267">
        <f>INDEX($AO$144:$BB$158,MATCH($CW150,$L$144:$L$158,0),MATCH(DI$145,$AO$145:$BB$145,0))/INDEX(고양시_재차인원!$D$4:$H$35,MATCH("고양시",고양시_재차인원!$B$4:$B$35,0),MATCH($DF$144,고양시_재차인원!$D$4:$H$4,0))</f>
        <v>2.7775810424433343</v>
      </c>
      <c r="DJ150" s="267">
        <f>INDEX($BC$144:$BP$158,MATCH($CW150,$L$144:$L$158,0),MATCH(DJ$145,$BC$145:$BP$145,0))/INDEX(고양시_재차인원!$D$4:$H$35,MATCH("고양시",고양시_재차인원!$B$4:$B$35,0),MATCH($DJ$144,고양시_재차인원!$D$4:$H$4,0))</f>
        <v>6.4976235380772615E-2</v>
      </c>
      <c r="DK150" s="267">
        <f>INDEX($BC$144:$BP$158,MATCH($CW150,$L$144:$L$158,0),MATCH(DK$145,$BC$145:$BP$145,0))/INDEX(고양시_재차인원!$K$4:$O$20,MATCH("경기도",고양시_재차인원!$K$4:$K$20,0),MATCH(DK$145,고양시_재차인원!$K$4:$O$4,0))</f>
        <v>6.5264469190551445E-7</v>
      </c>
      <c r="DL150" s="267">
        <f>INDEX($BC$144:$BP$158,MATCH($CW150,$L$144:$L$158,0),MATCH(DL$145,$BC$145:$BP$145,0))/INDEX(고양시_재차인원!$K$4:$O$20,MATCH("경기도",고양시_재차인원!$K$4:$K$20,0),MATCH(DL$145,고양시_재차인원!$K$4:$O$4,0))</f>
        <v>1.8143522434973302E-4</v>
      </c>
      <c r="DM150" s="267">
        <f>INDEX($BC$144:$BP$158,MATCH($CW150,$L$144:$L$158,0),MATCH(DM$145,$BC$145:$BP$145,0))/INDEX(고양시_재차인원!$D$4:$H$35,MATCH("고양시",고양시_재차인원!$B$4:$B$35,0),MATCH($DJ$144,고양시_재차인원!$D$4:$H$4,0))</f>
        <v>4.1724055039322402E-3</v>
      </c>
      <c r="DN150" s="267">
        <f>INDEX($BQ$144:$CD$158,MATCH($CW150,$L$144:$L$158,0),MATCH(DN$145,$BQ$145:$CD$145,0))/INDEX(고양시_재차인원!$D$4:$H$35,MATCH("고양시",고양시_재차인원!$B$4:$B$35,0),MATCH($DN$144,고양시_재차인원!$D$4:$H$4,0))</f>
        <v>0.26494718906586562</v>
      </c>
      <c r="DO150" s="267">
        <f>INDEX($BQ$144:$CD$158,MATCH($CW150,$L$144:$L$158,0),MATCH(DO$145,$BQ$145:$CD$145,0))/INDEX(고양시_재차인원!$K$4:$O$20,MATCH("경기도",고양시_재차인원!$K$4:$K$20,0),MATCH(DO$145,고양시_재차인원!$K$4:$O$4,0))</f>
        <v>2.4655466138652687E-6</v>
      </c>
      <c r="DP150" s="267">
        <f>INDEX($BQ$144:$CD$158,MATCH($CW150,$L$144:$L$158,0),MATCH(DP$145,$BQ$145:$CD$145,0))/INDEX(고양시_재차인원!$K$4:$O$20,MATCH("경기도",고양시_재차인원!$K$4:$K$20,0),MATCH(DP$145,고양시_재차인원!$K$4:$O$4,0))</f>
        <v>6.854219586545446E-4</v>
      </c>
      <c r="DQ150" s="267">
        <f>INDEX($BQ$144:$CD$158,MATCH($CW150,$L$144:$L$158,0),MATCH(DQ$145,$BQ$145:$CD$145,0))/INDEX(고양시_재차인원!$D$4:$H$35,MATCH("고양시",고양시_재차인원!$B$4:$B$35,0),MATCH($DN$144,고양시_재차인원!$D$4:$H$4,0))</f>
        <v>1.7013406569825942E-2</v>
      </c>
      <c r="DR150" s="270">
        <f t="shared" si="86"/>
        <v>859.68474290977167</v>
      </c>
      <c r="DS150" s="270">
        <f t="shared" si="77"/>
        <v>8.6579844828185166E-3</v>
      </c>
      <c r="DT150" s="270">
        <f t="shared" si="78"/>
        <v>2.4069196862235471</v>
      </c>
      <c r="DU150" s="270">
        <f t="shared" si="79"/>
        <v>55.204080875771012</v>
      </c>
      <c r="DW150" s="278"/>
      <c r="DX150" s="278" t="s">
        <v>673</v>
      </c>
      <c r="DY150" s="281">
        <f t="shared" si="87"/>
        <v>914.88882378554263</v>
      </c>
      <c r="DZ150" s="281">
        <f t="shared" si="88"/>
        <v>2.4155776707063659</v>
      </c>
      <c r="EB150" s="278"/>
      <c r="EC150" s="278" t="s">
        <v>673</v>
      </c>
      <c r="ED150" s="281">
        <f t="shared" si="89"/>
        <v>914.88882378554263</v>
      </c>
      <c r="EE150" s="281">
        <f t="shared" si="80"/>
        <v>2.4155776707063659</v>
      </c>
      <c r="EL150" s="306" t="s">
        <v>12</v>
      </c>
      <c r="EM150" s="306" t="s">
        <v>361</v>
      </c>
      <c r="EN150" s="306">
        <v>8261.5616000000009</v>
      </c>
      <c r="EO150" s="306">
        <v>0.12335288692322853</v>
      </c>
      <c r="EP150" s="307">
        <v>849105</v>
      </c>
      <c r="EQ150" s="308">
        <f t="shared" si="90"/>
        <v>24.49654924682849</v>
      </c>
      <c r="ER150" s="308">
        <f t="shared" si="91"/>
        <v>6.4678150865539963E-2</v>
      </c>
      <c r="ET150" s="420" t="s">
        <v>12</v>
      </c>
      <c r="EU150" s="420" t="s">
        <v>361</v>
      </c>
      <c r="EV150" s="420">
        <v>8261.5616000000009</v>
      </c>
      <c r="EW150" s="420">
        <v>0.12335288692322853</v>
      </c>
      <c r="EX150" s="421">
        <v>849105</v>
      </c>
      <c r="EY150" s="422">
        <f t="shared" si="92"/>
        <v>23.798397593293878</v>
      </c>
      <c r="EZ150" s="422">
        <f t="shared" si="81"/>
        <v>6.2834823565872069E-2</v>
      </c>
      <c r="FA150">
        <v>0</v>
      </c>
      <c r="FD150" s="306" t="s">
        <v>12</v>
      </c>
      <c r="FE150" s="306" t="s">
        <v>361</v>
      </c>
      <c r="FF150" s="306">
        <v>8261.5616000000009</v>
      </c>
      <c r="FG150" s="306">
        <v>0.12335288692322853</v>
      </c>
      <c r="FH150" s="307">
        <v>849105</v>
      </c>
      <c r="FI150" s="308">
        <f t="shared" si="82"/>
        <v>23.798397593293878</v>
      </c>
      <c r="FJ150" s="308">
        <f t="shared" si="83"/>
        <v>6.2834823565872069E-2</v>
      </c>
      <c r="FL150" s="101"/>
      <c r="FM150" s="101"/>
      <c r="FN150" s="101"/>
      <c r="FO150" s="101"/>
      <c r="FP150" s="374"/>
      <c r="FQ150" s="404"/>
      <c r="FR150" s="404"/>
    </row>
    <row r="151" spans="1:174" ht="25">
      <c r="A151" s="205"/>
      <c r="B151" s="205" t="s">
        <v>13</v>
      </c>
      <c r="C151" s="400">
        <f>$AB66*KTDB_TripDistribution_2040!T$12 * (1+KTDB_발생량도착량_증가율!$C$7*2) * (1+KTDB_발생량도착량_증가율!$D$8*5)* (1+KTDB_발생량도착량_증가율!$E$8*5)* (1+KTDB_발생량도착량_증가율!$F$8*5)</f>
        <v>96.111467114870607</v>
      </c>
      <c r="D151" s="400">
        <f>$AB66*KTDB_TripDistribution_2040!U$12 * (1+KTDB_발생량도착량_증가율!$C$7*2) * (1+KTDB_발생량도착량_증가율!$D$8*5)* (1+KTDB_발생량도착량_증가율!$E$8*5)* (1+KTDB_발생량도착량_증가율!$F$8*5)</f>
        <v>695.57835015786202</v>
      </c>
      <c r="E151" s="400">
        <f>$AB66*KTDB_TripDistribution_2040!V$12 * (1+KTDB_발생량도착량_증가율!$C$7*2) * (1+KTDB_발생량도착량_증가율!$D$8*5)* (1+KTDB_발생량도착량_증가율!$E$8*5)* (1+KTDB_발생량도착량_증가율!$F$8*5)</f>
        <v>39.903608247561642</v>
      </c>
      <c r="F151" s="400">
        <f>$AB66*KTDB_TripDistribution_2040!W$12 * (1+KTDB_발생량도착량_증가율!$C$7*2) * (1+KTDB_발생량도착량_증가율!$D$8*5)* (1+KTDB_발생량도착량_증가율!$E$8*5)* (1+KTDB_발생량도착량_증가율!$F$8*5)</f>
        <v>6.2708656229798487E-2</v>
      </c>
      <c r="G151" s="400">
        <f>$AB66*KTDB_TripDistribution_2040!X$12 * (1+KTDB_발생량도착량_증가율!$C$7*2) * (1+KTDB_발생량도착량_증가율!$D$8*5)* (1+KTDB_발생량도착량_증가율!$E$8*5)* (1+KTDB_발생량도착량_증가율!$F$8*5)</f>
        <v>0.23689936797923797</v>
      </c>
      <c r="H151" s="400">
        <f>$AB66*KTDB_TripDistribution_2040!Y$12 * (1+KTDB_발생량도착량_증가율!$C$7*2) * (1+KTDB_발생량도착량_증가율!$D$8*5)* (1+KTDB_발생량도착량_증가율!$E$8*5)* (1+KTDB_발생량도착량_증가율!$F$8*5)</f>
        <v>831.89303354450362</v>
      </c>
      <c r="K151" s="206"/>
      <c r="L151" s="206" t="s">
        <v>13</v>
      </c>
      <c r="M151" s="206">
        <f>INDEX($A$145:$H$158,MATCH($L151,$B$145:$B$158,0),MATCH($M$144,$A$145:$H$145,0))*고양시_Modal_split!C$3 * 0.01</f>
        <v>0.2691121079216377</v>
      </c>
      <c r="N151" s="206">
        <f>INDEX($A$145:$H$158,MATCH($L151,$B$145:$B$158,0),MATCH($M$144,$A$145:$H$145,0))*고양시_Modal_split!D$3 * 0.01</f>
        <v>45.201222984123653</v>
      </c>
      <c r="O151" s="206">
        <f>INDEX($A$145:$H$158,MATCH($L151,$B$145:$B$158,0),MATCH($M$144,$A$145:$H$145,0))*고양시_Modal_split!E$3 * 0.01</f>
        <v>5.4687424788361376</v>
      </c>
      <c r="P151" s="206">
        <f>INDEX($A$145:$H$158,MATCH($L151,$B$145:$B$158,0),MATCH($M$144,$A$145:$H$145,0))*고양시_Modal_split!F$3 * 0.01</f>
        <v>8.8134215344336351</v>
      </c>
      <c r="Q151" s="206">
        <f>INDEX($A$145:$H$158,MATCH($L151,$B$145:$B$158,0),MATCH($M$144,$A$145:$H$145,0))*고양시_Modal_split!G$3 * 0.01</f>
        <v>0.88422549745680956</v>
      </c>
      <c r="R151" s="206">
        <f>INDEX($A$145:$H$158,MATCH($L151,$B$145:$B$158,0),MATCH($M$144,$A$145:$H$145,0))*고양시_Modal_split!H$3 * 0.01</f>
        <v>9.6111467114870612E-3</v>
      </c>
      <c r="S151" s="206">
        <f>INDEX($A$145:$H$158,MATCH($L151,$B$145:$B$158,0),MATCH($M$144,$A$145:$H$145,0))*고양시_Modal_split!I$3 * 0.01</f>
        <v>2.6718987857934025</v>
      </c>
      <c r="T151" s="206">
        <f>INDEX($A$145:$H$158,MATCH($L151,$B$145:$B$158,0),MATCH($M$144,$A$145:$H$145,0))*고양시_Modal_split!J$3 * 0.01</f>
        <v>29.256330589766613</v>
      </c>
      <c r="U151" s="206">
        <f>INDEX($A$145:$H$158,MATCH($L151,$B$145:$B$158,0),MATCH($M$144,$A$145:$H$145,0))*고양시_Modal_split!K$3 * 0.01</f>
        <v>0.1441672006723059</v>
      </c>
      <c r="V151" s="206">
        <f>INDEX($A$145:$H$158,MATCH($L151,$B$145:$B$158,0),MATCH($M$144,$A$145:$H$145,0))*고양시_Modal_split!L$3 * 0.01</f>
        <v>2.9025663068690926</v>
      </c>
      <c r="W151" s="206">
        <f>INDEX($A$145:$H$158,MATCH($L151,$B$145:$B$158,0),MATCH($M$144,$A$145:$H$145,0))*고양시_Modal_split!M$3 * 0.01</f>
        <v>0.22105637436420239</v>
      </c>
      <c r="X151" s="206">
        <f>INDEX($A$145:$H$158,MATCH($L151,$B$145:$B$158,0),MATCH($M$144,$A$145:$H$145,0))*고양시_Modal_split!N$3 * 0.01</f>
        <v>9.6111467114870619E-2</v>
      </c>
      <c r="Y151" s="206">
        <f>INDEX($A$145:$H$158,MATCH($L151,$B$145:$B$158,0),MATCH($M$144,$A$145:$H$145,0))*고양시_Modal_split!O$3 * 0.01</f>
        <v>0.17300064080676708</v>
      </c>
      <c r="Z151" s="209">
        <f>INDEX($A$145:$H$158,MATCH($L151,$B$145:$B$158,0),MATCH($M$144,$A$145:$H$145,0))*고양시_Modal_split!P$3 * 0.01</f>
        <v>96.111467114870607</v>
      </c>
      <c r="AA151" s="207">
        <f>INDEX($A$145:$H$158,MATCH($L151,$B$145:$B$158,0),MATCH($AA$144,$A$145:$H$145,0))*고양시_Modal_split!C$3 * 0.01</f>
        <v>1.9476193804420134</v>
      </c>
      <c r="AB151" s="207">
        <f>INDEX($A$145:$H$158,MATCH($L151,$B$145:$B$158,0),MATCH($AA$144,$A$145:$H$145,0))*고양시_Modal_split!D$3 * 0.01</f>
        <v>327.1304980792425</v>
      </c>
      <c r="AC151" s="207">
        <f>INDEX($A$145:$H$158,MATCH($L151,$B$145:$B$158,0),MATCH($AA$144,$A$145:$H$145,0))*고양시_Modal_split!E$3 * 0.01</f>
        <v>39.578408123982342</v>
      </c>
      <c r="AD151" s="207">
        <f>INDEX($A$145:$H$158,MATCH($L151,$B$145:$B$158,0),MATCH($AA$144,$A$145:$H$145,0))*고양시_Modal_split!F$3 * 0.01</f>
        <v>63.784534709475949</v>
      </c>
      <c r="AE151" s="207">
        <f>INDEX($A$145:$H$158,MATCH($L151,$B$145:$B$158,0),MATCH($AA$144,$A$145:$H$145,0))*고양시_Modal_split!G$3 * 0.01</f>
        <v>6.3993208214523305</v>
      </c>
      <c r="AF151" s="207">
        <f>INDEX($A$145:$H$158,MATCH($L151,$B$145:$B$158,0),MATCH($AA$144,$A$145:$H$145,0))*고양시_Modal_split!H$3 * 0.01</f>
        <v>6.9557835015786204E-2</v>
      </c>
      <c r="AG151" s="207">
        <f>INDEX($A$145:$H$158,MATCH($L151,$B$145:$B$158,0),MATCH($AA$144,$A$145:$H$145,0))*고양시_Modal_split!I$3 * 0.01</f>
        <v>19.337078134388562</v>
      </c>
      <c r="AH151" s="207">
        <f>INDEX($A$145:$H$158,MATCH($L151,$B$145:$B$158,0),MATCH($AA$144,$A$145:$H$145,0))*고양시_Modal_split!J$3 * 0.01</f>
        <v>211.7340497880532</v>
      </c>
      <c r="AI151" s="207">
        <f>INDEX($A$145:$H$158,MATCH($L151,$B$145:$B$158,0),MATCH($AA$144,$A$145:$H$145,0))*고양시_Modal_split!K$3 * 0.01</f>
        <v>1.0433675252367929</v>
      </c>
      <c r="AJ151" s="207">
        <f>INDEX($A$145:$H$158,MATCH($L151,$B$145:$B$158,0),MATCH($AA$144,$A$145:$H$145,0))*고양시_Modal_split!L$3 * 0.01</f>
        <v>21.006466174767436</v>
      </c>
      <c r="AK151" s="207">
        <f>INDEX($A$145:$H$158,MATCH($L151,$B$145:$B$158,0),MATCH($AA$144,$A$145:$H$145,0))*고양시_Modal_split!M$3 * 0.01</f>
        <v>1.5998302053630826</v>
      </c>
      <c r="AL151" s="207">
        <f>INDEX($A$145:$H$158,MATCH($L151,$B$145:$B$158,0),MATCH($AA$144,$A$145:$H$145,0))*고양시_Modal_split!N$3 * 0.01</f>
        <v>0.69557835015786207</v>
      </c>
      <c r="AM151" s="207">
        <f>INDEX($A$145:$H$158,MATCH($L151,$B$145:$B$158,0),MATCH($AA$144,$A$145:$H$145,0))*고양시_Modal_split!O$3 * 0.01</f>
        <v>1.2520410302841516</v>
      </c>
      <c r="AN151" s="207">
        <f>INDEX($A$145:$H$158,MATCH($L151,$B$145:$B$158,0),MATCH($AA$144,$A$145:$H$145,0))*고양시_Modal_split!P$3 * 0.01</f>
        <v>695.57835015786202</v>
      </c>
      <c r="AO151" s="303">
        <f>INDEX($A$145:$H$158,MATCH($L151,$B$145:$B$158,0),MATCH($AO$144,$A$145:$H$145,0))*고양시_Modal_split!C$3 * 0.01</f>
        <v>0.11173010309317259</v>
      </c>
      <c r="AP151" s="303">
        <f>INDEX($A$145:$H$158,MATCH($L151,$B$145:$B$158,0),MATCH($AO$144,$A$145:$H$145,0))*고양시_Modal_split!D$3 * 0.01</f>
        <v>18.766666958828242</v>
      </c>
      <c r="AQ151" s="303">
        <f>INDEX($A$145:$H$158,MATCH($L151,$B$145:$B$158,0),MATCH($AO$144,$A$145:$H$145,0))*고양시_Modal_split!E$3 * 0.01</f>
        <v>2.2705153092862576</v>
      </c>
      <c r="AR151" s="303">
        <f>INDEX($A$145:$H$158,MATCH($L151,$B$145:$B$158,0),MATCH($AO$144,$A$145:$H$145,0))*고양시_Modal_split!F$3 * 0.01</f>
        <v>3.659160876301403</v>
      </c>
      <c r="AS151" s="303">
        <f>INDEX($A$145:$H$158,MATCH($L151,$B$145:$B$158,0),MATCH($AO$144,$A$145:$H$145,0))*고양시_Modal_split!G$3 * 0.01</f>
        <v>0.36711319587756708</v>
      </c>
      <c r="AT151" s="303">
        <f>INDEX($A$145:$H$158,MATCH($L151,$B$145:$B$158,0),MATCH($AO$144,$A$145:$H$145,0))*고양시_Modal_split!H$3 * 0.01</f>
        <v>3.9903608247561645E-3</v>
      </c>
      <c r="AU151" s="303">
        <f>INDEX($A$145:$H$158,MATCH($L151,$B$145:$B$158,0),MATCH($AO$144,$A$145:$H$145,0))*고양시_Modal_split!I$3 * 0.01</f>
        <v>1.1093203092822135</v>
      </c>
      <c r="AV151" s="303">
        <f>INDEX($A$145:$H$158,MATCH($L151,$B$145:$B$158,0),MATCH($AO$144,$A$145:$H$145,0))*고양시_Modal_split!J$3 * 0.01</f>
        <v>12.146658350557765</v>
      </c>
      <c r="AW151" s="303">
        <f>INDEX($A$145:$H$158,MATCH($L151,$B$145:$B$158,0),MATCH($AO$144,$A$145:$H$145,0))*고양시_Modal_split!K$3 * 0.01</f>
        <v>5.985541237134246E-2</v>
      </c>
      <c r="AX151" s="303">
        <f>INDEX($A$145:$H$158,MATCH($L151,$B$145:$B$158,0),MATCH($AO$144,$A$145:$H$145,0))*고양시_Modal_split!L$3 * 0.01</f>
        <v>1.2050889690763615</v>
      </c>
      <c r="AY151" s="303">
        <f>INDEX($A$145:$H$158,MATCH($L151,$B$145:$B$158,0),MATCH($AO$144,$A$145:$H$145,0))*고양시_Modal_split!M$3 * 0.01</f>
        <v>9.1778298969391769E-2</v>
      </c>
      <c r="AZ151" s="303">
        <f>INDEX($A$145:$H$158,MATCH($L151,$B$145:$B$158,0),MATCH($AO$144,$A$145:$H$145,0))*고양시_Modal_split!N$3 * 0.01</f>
        <v>3.9903608247561645E-2</v>
      </c>
      <c r="BA151" s="207">
        <f>INDEX($A$145:$H$158,MATCH($L151,$B$145:$B$158,0),MATCH($AO$144,$A$145:$H$145,0))*고양시_Modal_split!O$3 * 0.01</f>
        <v>7.1826494845610961E-2</v>
      </c>
      <c r="BB151" s="207">
        <f>INDEX($A$145:$H$158,MATCH($L151,$B$145:$B$158,0),MATCH($AO$144,$A$145:$H$145,0))*고양시_Modal_split!P$3 * 0.01</f>
        <v>39.903608247561642</v>
      </c>
      <c r="BC151" s="207">
        <f>INDEX($A$145:$H$158,MATCH($L151,$B$145:$B$158,0),MATCH($BC$144,$A$145:$H$145,0))*고양시_Modal_split!C$3 * 0.01</f>
        <v>1.7558423744343574E-4</v>
      </c>
      <c r="BD151" s="207">
        <f>INDEX($A$145:$H$158,MATCH($L151,$B$145:$B$158,0),MATCH($BC$144,$A$145:$H$145,0))*고양시_Modal_split!D$3 * 0.01</f>
        <v>2.9491881024874229E-2</v>
      </c>
      <c r="BE151" s="207">
        <f>INDEX($A$145:$H$158,MATCH($L151,$B$145:$B$158,0),MATCH($BC$144,$A$145:$H$145,0))*고양시_Modal_split!E$3 * 0.01</f>
        <v>3.5681225394755336E-3</v>
      </c>
      <c r="BF151" s="207">
        <f>INDEX($A$145:$H$158,MATCH($L151,$B$145:$B$158,0),MATCH($BC$144,$A$145:$H$145,0))*고양시_Modal_split!F$3 * 0.01</f>
        <v>5.7503837762725206E-3</v>
      </c>
      <c r="BG151" s="207">
        <f>INDEX($A$145:$H$158,MATCH($L151,$B$145:$B$158,0),MATCH($BC$144,$A$145:$H$145,0))*고양시_Modal_split!G$3 * 0.01</f>
        <v>5.7691963731414607E-4</v>
      </c>
      <c r="BH151" s="207">
        <f>INDEX($A$145:$H$158,MATCH($L151,$B$145:$B$158,0),MATCH($BC$144,$A$145:$H$145,0))*고양시_Modal_split!H$3 * 0.01</f>
        <v>6.270865622979849E-6</v>
      </c>
      <c r="BI151" s="207">
        <f>INDEX($A$145:$H$158,MATCH($L151,$B$145:$B$158,0),MATCH($BC$144,$A$145:$H$145,0))*고양시_Modal_split!I$3 * 0.01</f>
        <v>1.7433006431883981E-3</v>
      </c>
      <c r="BJ151" s="207">
        <f>INDEX($A$145:$H$158,MATCH($L151,$B$145:$B$158,0),MATCH($BC$144,$A$145:$H$145,0))*고양시_Modal_split!J$3 * 0.01</f>
        <v>1.9088514956350659E-2</v>
      </c>
      <c r="BK151" s="207">
        <f>INDEX($A$145:$H$158,MATCH($L151,$B$145:$B$158,0),MATCH($BC$144,$A$145:$H$145,0))*고양시_Modal_split!K$3 * 0.01</f>
        <v>9.4062984344697734E-5</v>
      </c>
      <c r="BL151" s="207">
        <f>INDEX($A$145:$H$158,MATCH($L151,$B$145:$B$158,0),MATCH($BC$144,$A$145:$H$145,0))*고양시_Modal_split!L$3 * 0.01</f>
        <v>1.8938014181399143E-3</v>
      </c>
      <c r="BM151" s="207">
        <f>INDEX($A$145:$H$158,MATCH($L151,$B$145:$B$158,0),MATCH($BC$144,$A$145:$H$145,0))*고양시_Modal_split!M$3 * 0.01</f>
        <v>1.4422990932853652E-4</v>
      </c>
      <c r="BN151" s="207">
        <f>INDEX($A$145:$H$158,MATCH($L151,$B$145:$B$158,0),MATCH($BC$144,$A$145:$H$145,0))*고양시_Modal_split!N$3 * 0.01</f>
        <v>6.2708656229798485E-5</v>
      </c>
      <c r="BO151" s="207">
        <f>INDEX($A$145:$H$158,MATCH($L151,$B$145:$B$158,0),MATCH($BC$144,$A$145:$H$145,0))*고양시_Modal_split!O$3 * 0.01</f>
        <v>1.1287558121363728E-4</v>
      </c>
      <c r="BP151" s="207">
        <f>INDEX($A$145:$H$158,MATCH($L151,$B$145:$B$158,0),MATCH($BC$144,$A$145:$H$145,0))*고양시_Modal_split!P$3 * 0.01</f>
        <v>6.2708656229798487E-2</v>
      </c>
      <c r="BQ151" s="207">
        <f>INDEX($A$145:$H$158,MATCH($L151,$B$145:$B$158,0),MATCH($BQ$144,$A$145:$H$145,0))*고양시_Modal_split!C$3 * 0.01</f>
        <v>6.6331823034186622E-4</v>
      </c>
      <c r="BR151" s="207">
        <f>INDEX($A$145:$H$158,MATCH($L151,$B$145:$B$158,0),MATCH($BQ$144,$A$145:$H$145,0))*고양시_Modal_split!D$3 * 0.01</f>
        <v>0.11141377276063562</v>
      </c>
      <c r="BS151" s="207">
        <f>INDEX($A$145:$H$158,MATCH($L151,$B$145:$B$158,0),MATCH($BQ$144,$A$145:$H$145,0))*고양시_Modal_split!E$3 * 0.01</f>
        <v>1.347957403801864E-2</v>
      </c>
      <c r="BT151" s="207">
        <f>INDEX($A$145:$H$158,MATCH($L151,$B$145:$B$158,0),MATCH($BQ$144,$A$145:$H$145,0))*고양시_Modal_split!F$3 * 0.01</f>
        <v>2.1723672043696123E-2</v>
      </c>
      <c r="BU151" s="207">
        <f>INDEX($A$145:$H$158,MATCH($L151,$B$145:$B$158,0),MATCH($BQ$144,$A$145:$H$145,0))*고양시_Modal_split!G$3 * 0.01</f>
        <v>2.1794741854089892E-3</v>
      </c>
      <c r="BV151" s="207">
        <f>INDEX($A$145:$H$158,MATCH($L151,$B$145:$B$158,0),MATCH($BQ$144,$A$145:$H$145,0))*고양시_Modal_split!H$3 * 0.01</f>
        <v>2.3689936797923797E-5</v>
      </c>
      <c r="BW151" s="207">
        <f>INDEX($A$145:$H$158,MATCH($L151,$B$145:$B$158,0),MATCH($BQ$144,$A$145:$H$145,0))*고양시_Modal_split!I$3 * 0.01</f>
        <v>6.5858024298228145E-3</v>
      </c>
      <c r="BX151" s="207">
        <f>INDEX($A$145:$H$158,MATCH($L151,$B$145:$B$158,0),MATCH($BQ$144,$A$145:$H$145,0))*고양시_Modal_split!J$3 * 0.01</f>
        <v>7.2112167612880043E-2</v>
      </c>
      <c r="BY151" s="207">
        <f>INDEX($A$145:$H$158,MATCH($L151,$B$145:$B$158,0),MATCH($BQ$144,$A$145:$H$145,0))*고양시_Modal_split!K$3 * 0.01</f>
        <v>3.5534905196885693E-4</v>
      </c>
      <c r="BZ151" s="207">
        <f>INDEX($A$145:$H$158,MATCH($L151,$B$145:$B$158,0),MATCH($BQ$144,$A$145:$H$145,0))*고양시_Modal_split!L$3 * 0.01</f>
        <v>7.1543609129729874E-3</v>
      </c>
      <c r="CA151" s="207">
        <f>INDEX($A$145:$H$158,MATCH($L151,$B$145:$B$158,0),MATCH($BQ$144,$A$145:$H$145,0))*고양시_Modal_split!M$3 * 0.01</f>
        <v>5.448685463522473E-4</v>
      </c>
      <c r="CB151" s="207">
        <f>INDEX($A$145:$H$158,MATCH($L151,$B$145:$B$158,0),MATCH($BQ$144,$A$145:$H$145,0))*고양시_Modal_split!N$3 * 0.01</f>
        <v>2.3689936797923798E-4</v>
      </c>
      <c r="CC151" s="207">
        <f>INDEX($A$145:$H$158,MATCH($L151,$B$145:$B$158,0),MATCH($BQ$144,$A$145:$H$145,0))*고양시_Modal_split!O$3 * 0.01</f>
        <v>4.2641886236262832E-4</v>
      </c>
      <c r="CD151" s="207">
        <f>INDEX($A$145:$H$158,MATCH($L151,$B$145:$B$158,0),MATCH($BQ$144,$A$145:$H$145,0))*고양시_Modal_split!P$3 * 0.01</f>
        <v>0.23689936797923797</v>
      </c>
      <c r="CE151" s="304">
        <f t="shared" si="84"/>
        <v>2.3293004939246091</v>
      </c>
      <c r="CF151" s="304">
        <f t="shared" si="64"/>
        <v>391.23929367597987</v>
      </c>
      <c r="CG151" s="304">
        <f t="shared" si="65"/>
        <v>47.334713608682229</v>
      </c>
      <c r="CH151" s="304">
        <f t="shared" si="66"/>
        <v>76.284591176030943</v>
      </c>
      <c r="CI151" s="304">
        <f t="shared" si="67"/>
        <v>7.6534159086094311</v>
      </c>
      <c r="CJ151" s="304">
        <f t="shared" si="68"/>
        <v>8.3189303354450336E-2</v>
      </c>
      <c r="CK151" s="304">
        <f t="shared" si="69"/>
        <v>23.126626332537189</v>
      </c>
      <c r="CL151" s="304">
        <f t="shared" si="70"/>
        <v>253.2282394109468</v>
      </c>
      <c r="CM151" s="304">
        <f t="shared" si="71"/>
        <v>1.2478395503167545</v>
      </c>
      <c r="CN151" s="304">
        <f t="shared" si="72"/>
        <v>25.123169613044006</v>
      </c>
      <c r="CO151" s="304">
        <f t="shared" si="73"/>
        <v>1.9133539771523578</v>
      </c>
      <c r="CP151" s="304">
        <f t="shared" si="74"/>
        <v>0.83189303354450339</v>
      </c>
      <c r="CQ151" s="304">
        <f t="shared" si="75"/>
        <v>1.4974074603801057</v>
      </c>
      <c r="CR151" s="304">
        <f t="shared" si="76"/>
        <v>831.8930335445034</v>
      </c>
      <c r="CS151" s="305">
        <f t="shared" si="85"/>
        <v>0</v>
      </c>
      <c r="CV151" s="267"/>
      <c r="CW151" s="267" t="s">
        <v>13</v>
      </c>
      <c r="CX151" s="267">
        <f>INDEX($M$144:$Z$158,MATCH($CW151,$L$144:$L$158,0),MATCH(CX$145,$M$145:$Z$145,0))/INDEX(고양시_재차인원!$D$4:$H$35,MATCH("고양시",고양시_재차인원!$B$4:$B$35,0),MATCH($CX$144,고양시_재차인원!$D$4:$H$4,0))</f>
        <v>40.358234807253261</v>
      </c>
      <c r="CY151" s="267">
        <f>INDEX($M$144:$Z$158,MATCH($CW151,$L$144:$L$158,0),MATCH(CY$145,$M$145:$Z$145,0))/INDEX(고양시_재차인원!$K$4:$O$20,MATCH("경기도",고양시_재차인원!$K$4:$K$20,0),MATCH(CY$145,고양시_재차인원!$K$4:$O$4,0))</f>
        <v>3.3383628730417026E-4</v>
      </c>
      <c r="CZ151" s="267">
        <f>INDEX($M$144:$Z$158,MATCH($CW151,$L$144:$L$158,0),MATCH(CZ$145,$M$145:$Z$145,0))/INDEX(고양시_재차인원!$K$4:$O$20,MATCH("경기도",고양시_재차인원!$K$4:$K$20,0),MATCH(CZ$145,고양시_재차인원!$K$4:$O$4,0))</f>
        <v>9.2806487870559312E-2</v>
      </c>
      <c r="DA151" s="267">
        <f>INDEX($M$144:$Z$158,MATCH($CW151,$L$144:$L$158,0),MATCH(DA$145,$M$145:$Z$145,0))/INDEX(고양시_재차인원!$D$4:$H$35,MATCH("고양시",고양시_재차인원!$B$4:$B$35,0),MATCH($CX$144,고양시_재차인원!$D$4:$H$4,0))</f>
        <v>2.5915770597045467</v>
      </c>
      <c r="DB151" s="267">
        <f>INDEX($AA$144:$AN$158,MATCH($CW151,$L$144:$L$158,0),MATCH(DB$145,$AA$145:$AN$145,0))/INDEX(고양시_재차인원!$D$4:$H$35,MATCH("고양시",고양시_재차인원!$B$4:$B$35,0),MATCH($DB$144,고양시_재차인원!$D$4:$H$4,0))</f>
        <v>232.00744544627128</v>
      </c>
      <c r="DC151" s="267">
        <f>INDEX($AA$144:$AN$158,MATCH($CW151,$L$144:$L$158,0),MATCH(DC$145,$AA$145:$AN$145,0))/INDEX(고양시_재차인원!$K$4:$O$20,MATCH("경기도",고양시_재차인원!$K$4:$K$20,0),MATCH(DC$145,고양시_재차인원!$K$4:$O$4,0))</f>
        <v>2.4160415080161932E-3</v>
      </c>
      <c r="DD151" s="267">
        <f>INDEX($AA$144:$AN$158,MATCH($CW151,$L$144:$L$158,0),MATCH(DD$145,$AA$145:$AN$145,0))/INDEX(고양시_재차인원!$K$4:$O$20,MATCH("경기도",고양시_재차인원!$K$4:$K$20,0),MATCH(DD$145,고양시_재차인원!$K$4:$O$4,0))</f>
        <v>0.67165953922850163</v>
      </c>
      <c r="DE151" s="267">
        <f>INDEX($AA$144:$AN$158,MATCH($CW151,$L$144:$L$158,0),MATCH(DE$145,$AA$145:$AN$145,0))/INDEX(고양시_재차인원!$D$4:$H$35,MATCH("고양시",고양시_재차인원!$B$4:$B$35,0),MATCH($DB$144,고양시_재차인원!$D$4:$H$4,0))</f>
        <v>14.89820296082797</v>
      </c>
      <c r="DF151" s="267">
        <f>INDEX($AO$144:$BB$158,MATCH($CW151,$L$144:$L$158,0),MATCH(DF$145,$AO$145:$BB$145,0))/INDEX(고양시_재차인원!$D$4:$H$35,MATCH("고양시",고양시_재차인원!$B$4:$B$35,0),MATCH($DF$144,고양시_재차인원!$D$4:$H$4,0))</f>
        <v>14.435897660637108</v>
      </c>
      <c r="DG151" s="267">
        <f>INDEX($AO$144:$BB$158,MATCH($CW151,$L$144:$L$158,0),MATCH(DG$145,$AO$145:$BB$145,0))/INDEX(고양시_재차인원!$K$4:$O$20,MATCH("경기도",고양시_재차인원!$K$4:$K$20,0),MATCH(DG$145,고양시_재차인원!$K$4:$O$4,0))</f>
        <v>1.3860232110997445E-4</v>
      </c>
      <c r="DH151" s="267">
        <f>INDEX($AO$144:$BB$158,MATCH($CW151,$L$144:$L$158,0),MATCH(DH$145,$AO$145:$BB$145,0))/INDEX(고양시_재차인원!$K$4:$O$20,MATCH("경기도",고양시_재차인원!$K$4:$K$20,0),MATCH(DH$145,고양시_재차인원!$K$4:$O$4,0))</f>
        <v>3.8531445268572891E-2</v>
      </c>
      <c r="DI151" s="267">
        <f>INDEX($AO$144:$BB$158,MATCH($CW151,$L$144:$L$158,0),MATCH(DI$145,$AO$145:$BB$145,0))/INDEX(고양시_재차인원!$D$4:$H$35,MATCH("고양시",고양시_재차인원!$B$4:$B$35,0),MATCH($DF$144,고양시_재차인원!$D$4:$H$4,0))</f>
        <v>0.92699151467412422</v>
      </c>
      <c r="DJ151" s="267">
        <f>INDEX($BC$144:$BP$158,MATCH($CW151,$L$144:$L$158,0),MATCH(DJ$145,$BC$145:$BP$145,0))/INDEX(고양시_재차인원!$D$4:$H$35,MATCH("고양시",고양시_재차인원!$B$4:$B$35,0),MATCH($DJ$144,고양시_재차인원!$D$4:$H$4,0))</f>
        <v>2.168520663593693E-2</v>
      </c>
      <c r="DK151" s="267">
        <f>INDEX($BC$144:$BP$158,MATCH($CW151,$L$144:$L$158,0),MATCH(DK$145,$BC$145:$BP$145,0))/INDEX(고양시_재차인원!$K$4:$O$20,MATCH("경기도",고양시_재차인원!$K$4:$K$20,0),MATCH(DK$145,고양시_재차인원!$K$4:$O$4,0))</f>
        <v>2.1781401955470127E-7</v>
      </c>
      <c r="DL151" s="267">
        <f>INDEX($BC$144:$BP$158,MATCH($CW151,$L$144:$L$158,0),MATCH(DL$145,$BC$145:$BP$145,0))/INDEX(고양시_재차인원!$K$4:$O$20,MATCH("경기도",고양시_재차인원!$K$4:$K$20,0),MATCH(DL$145,고양시_재차인원!$K$4:$O$4,0))</f>
        <v>6.055229743620695E-5</v>
      </c>
      <c r="DM151" s="267">
        <f>INDEX($BC$144:$BP$158,MATCH($CW151,$L$144:$L$158,0),MATCH(DM$145,$BC$145:$BP$145,0))/INDEX(고양시_재차인원!$D$4:$H$35,MATCH("고양시",고양시_재차인원!$B$4:$B$35,0),MATCH($DJ$144,고양시_재차인원!$D$4:$H$4,0))</f>
        <v>1.3925010427499368E-3</v>
      </c>
      <c r="DN151" s="267">
        <f>INDEX($BQ$144:$CD$158,MATCH($CW151,$L$144:$L$158,0),MATCH(DN$145,$BQ$145:$CD$145,0))/INDEX(고양시_재차인원!$D$4:$H$35,MATCH("고양시",고양시_재차인원!$B$4:$B$35,0),MATCH($DN$144,고양시_재차인원!$D$4:$H$4,0))</f>
        <v>8.8423629175107626E-2</v>
      </c>
      <c r="DO151" s="267">
        <f>INDEX($BQ$144:$CD$158,MATCH($CW151,$L$144:$L$158,0),MATCH(DO$145,$BQ$145:$CD$145,0))/INDEX(고양시_재차인원!$K$4:$O$20,MATCH("경기도",고양시_재차인원!$K$4:$K$20,0),MATCH(DO$145,고양시_재차인원!$K$4:$O$4,0))</f>
        <v>8.2285296276220211E-7</v>
      </c>
      <c r="DP151" s="267">
        <f>INDEX($BQ$144:$CD$158,MATCH($CW151,$L$144:$L$158,0),MATCH(DP$145,$BQ$145:$CD$145,0))/INDEX(고양시_재차인원!$K$4:$O$20,MATCH("경기도",고양시_재차인원!$K$4:$K$20,0),MATCH(DP$145,고양시_재차인원!$K$4:$O$4,0))</f>
        <v>2.2875312364789213E-4</v>
      </c>
      <c r="DQ151" s="267">
        <f>INDEX($BQ$144:$CD$158,MATCH($CW151,$L$144:$L$158,0),MATCH(DQ$145,$BQ$145:$CD$145,0))/INDEX(고양시_재차인원!$D$4:$H$35,MATCH("고양시",고양시_재차인원!$B$4:$B$35,0),MATCH($DN$144,고양시_재차인원!$D$4:$H$4,0))</f>
        <v>5.6780642166452278E-3</v>
      </c>
      <c r="DR151" s="270">
        <f t="shared" si="86"/>
        <v>286.91168674997272</v>
      </c>
      <c r="DS151" s="270">
        <f t="shared" si="77"/>
        <v>2.8895207834126546E-3</v>
      </c>
      <c r="DT151" s="270">
        <f t="shared" si="78"/>
        <v>0.80328677778871793</v>
      </c>
      <c r="DU151" s="270">
        <f t="shared" si="79"/>
        <v>18.42384210046604</v>
      </c>
      <c r="DW151" s="278"/>
      <c r="DX151" s="278" t="s">
        <v>13</v>
      </c>
      <c r="DY151" s="281">
        <f t="shared" si="87"/>
        <v>305.33552885043878</v>
      </c>
      <c r="DZ151" s="281">
        <f t="shared" si="88"/>
        <v>0.80617629857213058</v>
      </c>
      <c r="EB151" s="278"/>
      <c r="EC151" s="278" t="s">
        <v>13</v>
      </c>
      <c r="ED151" s="281">
        <f t="shared" si="89"/>
        <v>305.33552885043878</v>
      </c>
      <c r="EE151" s="281">
        <f t="shared" si="80"/>
        <v>0.80617629857213058</v>
      </c>
      <c r="EL151" s="306" t="s">
        <v>12</v>
      </c>
      <c r="EM151" s="306" t="s">
        <v>362</v>
      </c>
      <c r="EN151" s="306">
        <v>22890.217400000001</v>
      </c>
      <c r="EO151" s="306">
        <v>0.3417724802282317</v>
      </c>
      <c r="EP151" s="307">
        <v>849106</v>
      </c>
      <c r="EQ151" s="308">
        <f t="shared" si="90"/>
        <v>67.872318207941518</v>
      </c>
      <c r="ER151" s="308">
        <f t="shared" si="91"/>
        <v>0.17920303763663856</v>
      </c>
      <c r="ET151" s="420" t="s">
        <v>12</v>
      </c>
      <c r="EU151" s="420" t="s">
        <v>362</v>
      </c>
      <c r="EV151" s="420">
        <v>22890.217400000001</v>
      </c>
      <c r="EW151" s="420">
        <v>0.3417724802282317</v>
      </c>
      <c r="EX151" s="421">
        <v>849106</v>
      </c>
      <c r="EY151" s="422">
        <f t="shared" si="92"/>
        <v>65.937957139015182</v>
      </c>
      <c r="EZ151" s="422">
        <f t="shared" si="81"/>
        <v>0.17409575106399436</v>
      </c>
      <c r="FA151">
        <v>0</v>
      </c>
      <c r="FD151" s="306" t="s">
        <v>12</v>
      </c>
      <c r="FE151" s="306" t="s">
        <v>362</v>
      </c>
      <c r="FF151" s="306">
        <v>22890.217400000001</v>
      </c>
      <c r="FG151" s="306">
        <v>0.3417724802282317</v>
      </c>
      <c r="FH151" s="307">
        <v>849106</v>
      </c>
      <c r="FI151" s="308">
        <f t="shared" si="82"/>
        <v>65.937957139015182</v>
      </c>
      <c r="FJ151" s="308">
        <f t="shared" si="83"/>
        <v>0.17409575106399436</v>
      </c>
      <c r="FL151" s="101"/>
      <c r="FM151" s="101"/>
      <c r="FN151" s="101"/>
      <c r="FO151" s="101"/>
      <c r="FP151" s="374"/>
      <c r="FQ151" s="404"/>
      <c r="FR151" s="404"/>
    </row>
    <row r="152" spans="1:174" ht="25">
      <c r="A152" s="205"/>
      <c r="B152" s="205" t="s">
        <v>301</v>
      </c>
      <c r="C152" s="400">
        <f>$AB67*KTDB_TripDistribution_2040!T$12 * (1+KTDB_발생량도착량_증가율!$C$7*2) * (1+KTDB_발생량도착량_증가율!$D$8*5)* (1+KTDB_발생량도착량_증가율!$E$8*5)* (1+KTDB_발생량도착량_증가율!$F$8*5)</f>
        <v>1687.8440256054425</v>
      </c>
      <c r="D152" s="400">
        <f>$AB67*KTDB_TripDistribution_2040!U$12 * (1+KTDB_발생량도착량_증가율!$C$7*2) * (1+KTDB_발생량도착량_증가율!$D$8*5)* (1+KTDB_발생량도착량_증가율!$E$8*5)* (1+KTDB_발생량도착량_증가율!$F$8*5)</f>
        <v>12215.272515310402</v>
      </c>
      <c r="E152" s="400">
        <f>$AB67*KTDB_TripDistribution_2040!V$12 * (1+KTDB_발생량도착량_증가율!$C$7*2) * (1+KTDB_발생량도착량_증가율!$D$8*5)* (1+KTDB_발생량도착량_증가율!$E$8*5)* (1+KTDB_발생량도착량_증가율!$F$8*5)</f>
        <v>700.75994886489741</v>
      </c>
      <c r="F152" s="400">
        <f>$AB67*KTDB_TripDistribution_2040!W$12 * (1+KTDB_발생량도착량_증가율!$C$7*2) * (1+KTDB_발생량도착량_증가율!$D$8*5)* (1+KTDB_발생량도착량_증가율!$E$8*5)* (1+KTDB_발생량도착량_증가율!$F$8*5)</f>
        <v>1.1012466456755889</v>
      </c>
      <c r="G152" s="400">
        <f>$AB67*KTDB_TripDistribution_2040!X$12 * (1+KTDB_발생량도착량_증가율!$C$7*2) * (1+KTDB_발생량도착량_증가율!$D$8*5)* (1+KTDB_발생량도착량_증가율!$E$8*5)* (1+KTDB_발생량도착량_증가율!$F$8*5)</f>
        <v>4.1602651058855438</v>
      </c>
      <c r="H152" s="400">
        <f>$AB67*KTDB_TripDistribution_2040!Y$12 * (1+KTDB_발생량도착량_증가율!$C$7*2) * (1+KTDB_발생량도착량_증가율!$D$8*5)* (1+KTDB_발생량도착량_증가율!$E$8*5)* (1+KTDB_발생량도착량_증가율!$F$8*5)</f>
        <v>14609.138001532305</v>
      </c>
      <c r="I152" s="56"/>
      <c r="J152" s="56"/>
      <c r="K152" s="206"/>
      <c r="L152" s="206" t="s">
        <v>301</v>
      </c>
      <c r="M152" s="206">
        <f>INDEX($A$145:$H$158,MATCH($L152,$B$145:$B$158,0),MATCH($M$144,$A$145:$H$145,0))*고양시_Modal_split!C$3 * 0.01</f>
        <v>4.7259632716952389</v>
      </c>
      <c r="N152" s="206">
        <f>INDEX($A$145:$H$158,MATCH($L152,$B$145:$B$158,0),MATCH($M$144,$A$145:$H$145,0))*고양시_Modal_split!D$3 * 0.01</f>
        <v>793.7930452422396</v>
      </c>
      <c r="O152" s="206">
        <f>INDEX($A$145:$H$158,MATCH($L152,$B$145:$B$158,0),MATCH($M$144,$A$145:$H$145,0))*고양시_Modal_split!E$3 * 0.01</f>
        <v>96.038325056949674</v>
      </c>
      <c r="P152" s="206">
        <f>INDEX($A$145:$H$158,MATCH($L152,$B$145:$B$158,0),MATCH($M$144,$A$145:$H$145,0))*고양시_Modal_split!F$3 * 0.01</f>
        <v>154.77529714801906</v>
      </c>
      <c r="Q152" s="206">
        <f>INDEX($A$145:$H$158,MATCH($L152,$B$145:$B$158,0),MATCH($M$144,$A$145:$H$145,0))*고양시_Modal_split!G$3 * 0.01</f>
        <v>15.528165035570071</v>
      </c>
      <c r="R152" s="206">
        <f>INDEX($A$145:$H$158,MATCH($L152,$B$145:$B$158,0),MATCH($M$144,$A$145:$H$145,0))*고양시_Modal_split!H$3 * 0.01</f>
        <v>0.16878440256054425</v>
      </c>
      <c r="S152" s="206">
        <f>INDEX($A$145:$H$158,MATCH($L152,$B$145:$B$158,0),MATCH($M$144,$A$145:$H$145,0))*고양시_Modal_split!I$3 * 0.01</f>
        <v>46.922063911831302</v>
      </c>
      <c r="T152" s="206">
        <f>INDEX($A$145:$H$158,MATCH($L152,$B$145:$B$158,0),MATCH($M$144,$A$145:$H$145,0))*고양시_Modal_split!J$3 * 0.01</f>
        <v>513.77972139429676</v>
      </c>
      <c r="U152" s="206">
        <f>INDEX($A$145:$H$158,MATCH($L152,$B$145:$B$158,0),MATCH($M$144,$A$145:$H$145,0))*고양시_Modal_split!K$3 * 0.01</f>
        <v>2.5317660384081639</v>
      </c>
      <c r="V152" s="206">
        <f>INDEX($A$145:$H$158,MATCH($L152,$B$145:$B$158,0),MATCH($M$144,$A$145:$H$145,0))*고양시_Modal_split!L$3 * 0.01</f>
        <v>50.972889573284363</v>
      </c>
      <c r="W152" s="206">
        <f>INDEX($A$145:$H$158,MATCH($L152,$B$145:$B$158,0),MATCH($M$144,$A$145:$H$145,0))*고양시_Modal_split!M$3 * 0.01</f>
        <v>3.8820412588925177</v>
      </c>
      <c r="X152" s="206">
        <f>INDEX($A$145:$H$158,MATCH($L152,$B$145:$B$158,0),MATCH($M$144,$A$145:$H$145,0))*고양시_Modal_split!N$3 * 0.01</f>
        <v>1.6878440256054428</v>
      </c>
      <c r="Y152" s="206">
        <f>INDEX($A$145:$H$158,MATCH($L152,$B$145:$B$158,0),MATCH($M$144,$A$145:$H$145,0))*고양시_Modal_split!O$3 * 0.01</f>
        <v>3.0381192460897966</v>
      </c>
      <c r="Z152" s="209">
        <f>INDEX($A$145:$H$158,MATCH($L152,$B$145:$B$158,0),MATCH($M$144,$A$145:$H$145,0))*고양시_Modal_split!P$3 * 0.01</f>
        <v>1687.8440256054425</v>
      </c>
      <c r="AA152" s="207">
        <f>INDEX($A$145:$H$158,MATCH($L152,$B$145:$B$158,0),MATCH($AA$144,$A$145:$H$145,0))*고양시_Modal_split!C$3 * 0.01</f>
        <v>34.202763042869123</v>
      </c>
      <c r="AB152" s="207">
        <f>INDEX($A$145:$H$158,MATCH($L152,$B$145:$B$158,0),MATCH($AA$144,$A$145:$H$145,0))*고양시_Modal_split!D$3 * 0.01</f>
        <v>5744.8426639504823</v>
      </c>
      <c r="AC152" s="207">
        <f>INDEX($A$145:$H$158,MATCH($L152,$B$145:$B$158,0),MATCH($AA$144,$A$145:$H$145,0))*고양시_Modal_split!E$3 * 0.01</f>
        <v>695.04900612116182</v>
      </c>
      <c r="AD152" s="207">
        <f>INDEX($A$145:$H$158,MATCH($L152,$B$145:$B$158,0),MATCH($AA$144,$A$145:$H$145,0))*고양시_Modal_split!F$3 * 0.01</f>
        <v>1120.1404896539639</v>
      </c>
      <c r="AE152" s="207">
        <f>INDEX($A$145:$H$158,MATCH($L152,$B$145:$B$158,0),MATCH($AA$144,$A$145:$H$145,0))*고양시_Modal_split!G$3 * 0.01</f>
        <v>112.3805071408557</v>
      </c>
      <c r="AF152" s="207">
        <f>INDEX($A$145:$H$158,MATCH($L152,$B$145:$B$158,0),MATCH($AA$144,$A$145:$H$145,0))*고양시_Modal_split!H$3 * 0.01</f>
        <v>1.2215272515310402</v>
      </c>
      <c r="AG152" s="207">
        <f>INDEX($A$145:$H$158,MATCH($L152,$B$145:$B$158,0),MATCH($AA$144,$A$145:$H$145,0))*고양시_Modal_split!I$3 * 0.01</f>
        <v>339.58457592562917</v>
      </c>
      <c r="AH152" s="207">
        <f>INDEX($A$145:$H$158,MATCH($L152,$B$145:$B$158,0),MATCH($AA$144,$A$145:$H$145,0))*고양시_Modal_split!J$3 * 0.01</f>
        <v>3718.3289536604866</v>
      </c>
      <c r="AI152" s="207">
        <f>INDEX($A$145:$H$158,MATCH($L152,$B$145:$B$158,0),MATCH($AA$144,$A$145:$H$145,0))*고양시_Modal_split!K$3 * 0.01</f>
        <v>18.322908772965601</v>
      </c>
      <c r="AJ152" s="207">
        <f>INDEX($A$145:$H$158,MATCH($L152,$B$145:$B$158,0),MATCH($AA$144,$A$145:$H$145,0))*고양시_Modal_split!L$3 * 0.01</f>
        <v>368.90122996237415</v>
      </c>
      <c r="AK152" s="207">
        <f>INDEX($A$145:$H$158,MATCH($L152,$B$145:$B$158,0),MATCH($AA$144,$A$145:$H$145,0))*고양시_Modal_split!M$3 * 0.01</f>
        <v>28.095126785213925</v>
      </c>
      <c r="AL152" s="207">
        <f>INDEX($A$145:$H$158,MATCH($L152,$B$145:$B$158,0),MATCH($AA$144,$A$145:$H$145,0))*고양시_Modal_split!N$3 * 0.01</f>
        <v>12.215272515310403</v>
      </c>
      <c r="AM152" s="207">
        <f>INDEX($A$145:$H$158,MATCH($L152,$B$145:$B$158,0),MATCH($AA$144,$A$145:$H$145,0))*고양시_Modal_split!O$3 * 0.01</f>
        <v>21.98749052755872</v>
      </c>
      <c r="AN152" s="207">
        <f>INDEX($A$145:$H$158,MATCH($L152,$B$145:$B$158,0),MATCH($AA$144,$A$145:$H$145,0))*고양시_Modal_split!P$3 * 0.01</f>
        <v>12215.272515310404</v>
      </c>
      <c r="AO152" s="303">
        <f>INDEX($A$145:$H$158,MATCH($L152,$B$145:$B$158,0),MATCH($AO$144,$A$145:$H$145,0))*고양시_Modal_split!C$3 * 0.01</f>
        <v>1.9621278568217124</v>
      </c>
      <c r="AP152" s="303">
        <f>INDEX($A$145:$H$158,MATCH($L152,$B$145:$B$158,0),MATCH($AO$144,$A$145:$H$145,0))*고양시_Modal_split!D$3 * 0.01</f>
        <v>329.56740395116128</v>
      </c>
      <c r="AQ152" s="303">
        <f>INDEX($A$145:$H$158,MATCH($L152,$B$145:$B$158,0),MATCH($AO$144,$A$145:$H$145,0))*고양시_Modal_split!E$3 * 0.01</f>
        <v>39.873241090412655</v>
      </c>
      <c r="AR152" s="303">
        <f>INDEX($A$145:$H$158,MATCH($L152,$B$145:$B$158,0),MATCH($AO$144,$A$145:$H$145,0))*고양시_Modal_split!F$3 * 0.01</f>
        <v>64.25968731091109</v>
      </c>
      <c r="AS152" s="303">
        <f>INDEX($A$145:$H$158,MATCH($L152,$B$145:$B$158,0),MATCH($AO$144,$A$145:$H$145,0))*고양시_Modal_split!G$3 * 0.01</f>
        <v>6.4469915295570557</v>
      </c>
      <c r="AT152" s="303">
        <f>INDEX($A$145:$H$158,MATCH($L152,$B$145:$B$158,0),MATCH($AO$144,$A$145:$H$145,0))*고양시_Modal_split!H$3 * 0.01</f>
        <v>7.0075994886489745E-2</v>
      </c>
      <c r="AU152" s="303">
        <f>INDEX($A$145:$H$158,MATCH($L152,$B$145:$B$158,0),MATCH($AO$144,$A$145:$H$145,0))*고양시_Modal_split!I$3 * 0.01</f>
        <v>19.481126578444147</v>
      </c>
      <c r="AV152" s="303">
        <f>INDEX($A$145:$H$158,MATCH($L152,$B$145:$B$158,0),MATCH($AO$144,$A$145:$H$145,0))*고양시_Modal_split!J$3 * 0.01</f>
        <v>213.31132843447477</v>
      </c>
      <c r="AW152" s="303">
        <f>INDEX($A$145:$H$158,MATCH($L152,$B$145:$B$158,0),MATCH($AO$144,$A$145:$H$145,0))*고양시_Modal_split!K$3 * 0.01</f>
        <v>1.0511399232973462</v>
      </c>
      <c r="AX152" s="303">
        <f>INDEX($A$145:$H$158,MATCH($L152,$B$145:$B$158,0),MATCH($AO$144,$A$145:$H$145,0))*고양시_Modal_split!L$3 * 0.01</f>
        <v>21.162950455719901</v>
      </c>
      <c r="AY152" s="303">
        <f>INDEX($A$145:$H$158,MATCH($L152,$B$145:$B$158,0),MATCH($AO$144,$A$145:$H$145,0))*고양시_Modal_split!M$3 * 0.01</f>
        <v>1.6117478823892639</v>
      </c>
      <c r="AZ152" s="303">
        <f>INDEX($A$145:$H$158,MATCH($L152,$B$145:$B$158,0),MATCH($AO$144,$A$145:$H$145,0))*고양시_Modal_split!N$3 * 0.01</f>
        <v>0.70075994886489734</v>
      </c>
      <c r="BA152" s="207">
        <f>INDEX($A$145:$H$158,MATCH($L152,$B$145:$B$158,0),MATCH($AO$144,$A$145:$H$145,0))*고양시_Modal_split!O$3 * 0.01</f>
        <v>1.2613679079568154</v>
      </c>
      <c r="BB152" s="207">
        <f>INDEX($A$145:$H$158,MATCH($L152,$B$145:$B$158,0),MATCH($AO$144,$A$145:$H$145,0))*고양시_Modal_split!P$3 * 0.01</f>
        <v>700.75994886489741</v>
      </c>
      <c r="BC152" s="207">
        <f>INDEX($A$145:$H$158,MATCH($L152,$B$145:$B$158,0),MATCH($BC$144,$A$145:$H$145,0))*고양시_Modal_split!C$3 * 0.01</f>
        <v>3.0834906078916484E-3</v>
      </c>
      <c r="BD152" s="207">
        <f>INDEX($A$145:$H$158,MATCH($L152,$B$145:$B$158,0),MATCH($BC$144,$A$145:$H$145,0))*고양시_Modal_split!D$3 * 0.01</f>
        <v>0.51791629746122947</v>
      </c>
      <c r="BE152" s="207">
        <f>INDEX($A$145:$H$158,MATCH($L152,$B$145:$B$158,0),MATCH($BC$144,$A$145:$H$145,0))*고양시_Modal_split!E$3 * 0.01</f>
        <v>6.2660934138941013E-2</v>
      </c>
      <c r="BF152" s="207">
        <f>INDEX($A$145:$H$158,MATCH($L152,$B$145:$B$158,0),MATCH($BC$144,$A$145:$H$145,0))*고양시_Modal_split!F$3 * 0.01</f>
        <v>0.1009843174084515</v>
      </c>
      <c r="BG152" s="207">
        <f>INDEX($A$145:$H$158,MATCH($L152,$B$145:$B$158,0),MATCH($BC$144,$A$145:$H$145,0))*고양시_Modal_split!G$3 * 0.01</f>
        <v>1.0131469140215416E-2</v>
      </c>
      <c r="BH152" s="207">
        <f>INDEX($A$145:$H$158,MATCH($L152,$B$145:$B$158,0),MATCH($BC$144,$A$145:$H$145,0))*고양시_Modal_split!H$3 * 0.01</f>
        <v>1.1012466456755891E-4</v>
      </c>
      <c r="BI152" s="207">
        <f>INDEX($A$145:$H$158,MATCH($L152,$B$145:$B$158,0),MATCH($BC$144,$A$145:$H$145,0))*고양시_Modal_split!I$3 * 0.01</f>
        <v>3.0614656749781369E-2</v>
      </c>
      <c r="BJ152" s="207">
        <f>INDEX($A$145:$H$158,MATCH($L152,$B$145:$B$158,0),MATCH($BC$144,$A$145:$H$145,0))*고양시_Modal_split!J$3 * 0.01</f>
        <v>0.33521947894364928</v>
      </c>
      <c r="BK152" s="207">
        <f>INDEX($A$145:$H$158,MATCH($L152,$B$145:$B$158,0),MATCH($BC$144,$A$145:$H$145,0))*고양시_Modal_split!K$3 * 0.01</f>
        <v>1.6518699685133835E-3</v>
      </c>
      <c r="BL152" s="207">
        <f>INDEX($A$145:$H$158,MATCH($L152,$B$145:$B$158,0),MATCH($BC$144,$A$145:$H$145,0))*고양시_Modal_split!L$3 * 0.01</f>
        <v>3.3257648699402786E-2</v>
      </c>
      <c r="BM152" s="207">
        <f>INDEX($A$145:$H$158,MATCH($L152,$B$145:$B$158,0),MATCH($BC$144,$A$145:$H$145,0))*고양시_Modal_split!M$3 * 0.01</f>
        <v>2.5328672850538541E-3</v>
      </c>
      <c r="BN152" s="207">
        <f>INDEX($A$145:$H$158,MATCH($L152,$B$145:$B$158,0),MATCH($BC$144,$A$145:$H$145,0))*고양시_Modal_split!N$3 * 0.01</f>
        <v>1.1012466456755891E-3</v>
      </c>
      <c r="BO152" s="207">
        <f>INDEX($A$145:$H$158,MATCH($L152,$B$145:$B$158,0),MATCH($BC$144,$A$145:$H$145,0))*고양시_Modal_split!O$3 * 0.01</f>
        <v>1.9822439622160602E-3</v>
      </c>
      <c r="BP152" s="207">
        <f>INDEX($A$145:$H$158,MATCH($L152,$B$145:$B$158,0),MATCH($BC$144,$A$145:$H$145,0))*고양시_Modal_split!P$3 * 0.01</f>
        <v>1.1012466456755889</v>
      </c>
      <c r="BQ152" s="207">
        <f>INDEX($A$145:$H$158,MATCH($L152,$B$145:$B$158,0),MATCH($BQ$144,$A$145:$H$145,0))*고양시_Modal_split!C$3 * 0.01</f>
        <v>1.1648742296479522E-2</v>
      </c>
      <c r="BR152" s="207">
        <f>INDEX($A$145:$H$158,MATCH($L152,$B$145:$B$158,0),MATCH($BQ$144,$A$145:$H$145,0))*고양시_Modal_split!D$3 * 0.01</f>
        <v>1.9565726792979712</v>
      </c>
      <c r="BS152" s="207">
        <f>INDEX($A$145:$H$158,MATCH($L152,$B$145:$B$158,0),MATCH($BQ$144,$A$145:$H$145,0))*고양시_Modal_split!E$3 * 0.01</f>
        <v>0.23671908452488744</v>
      </c>
      <c r="BT152" s="207">
        <f>INDEX($A$145:$H$158,MATCH($L152,$B$145:$B$158,0),MATCH($BQ$144,$A$145:$H$145,0))*고양시_Modal_split!F$3 * 0.01</f>
        <v>0.38149631020970443</v>
      </c>
      <c r="BU152" s="207">
        <f>INDEX($A$145:$H$158,MATCH($L152,$B$145:$B$158,0),MATCH($BQ$144,$A$145:$H$145,0))*고양시_Modal_split!G$3 * 0.01</f>
        <v>3.8274438974147E-2</v>
      </c>
      <c r="BV152" s="207">
        <f>INDEX($A$145:$H$158,MATCH($L152,$B$145:$B$158,0),MATCH($BQ$144,$A$145:$H$145,0))*고양시_Modal_split!H$3 * 0.01</f>
        <v>4.1602651058855441E-4</v>
      </c>
      <c r="BW152" s="207">
        <f>INDEX($A$145:$H$158,MATCH($L152,$B$145:$B$158,0),MATCH($BQ$144,$A$145:$H$145,0))*고양시_Modal_split!I$3 * 0.01</f>
        <v>0.11565536994361811</v>
      </c>
      <c r="BX152" s="207">
        <f>INDEX($A$145:$H$158,MATCH($L152,$B$145:$B$158,0),MATCH($BQ$144,$A$145:$H$145,0))*고양시_Modal_split!J$3 * 0.01</f>
        <v>1.2663846982315596</v>
      </c>
      <c r="BY152" s="207">
        <f>INDEX($A$145:$H$158,MATCH($L152,$B$145:$B$158,0),MATCH($BQ$144,$A$145:$H$145,0))*고양시_Modal_split!K$3 * 0.01</f>
        <v>6.2403976588283148E-3</v>
      </c>
      <c r="BZ152" s="207">
        <f>INDEX($A$145:$H$158,MATCH($L152,$B$145:$B$158,0),MATCH($BQ$144,$A$145:$H$145,0))*고양시_Modal_split!L$3 * 0.01</f>
        <v>0.12564000619774343</v>
      </c>
      <c r="CA152" s="207">
        <f>INDEX($A$145:$H$158,MATCH($L152,$B$145:$B$158,0),MATCH($BQ$144,$A$145:$H$145,0))*고양시_Modal_split!M$3 * 0.01</f>
        <v>9.56860974353675E-3</v>
      </c>
      <c r="CB152" s="207">
        <f>INDEX($A$145:$H$158,MATCH($L152,$B$145:$B$158,0),MATCH($BQ$144,$A$145:$H$145,0))*고양시_Modal_split!N$3 * 0.01</f>
        <v>4.1602651058855441E-3</v>
      </c>
      <c r="CC152" s="207">
        <f>INDEX($A$145:$H$158,MATCH($L152,$B$145:$B$158,0),MATCH($BQ$144,$A$145:$H$145,0))*고양시_Modal_split!O$3 * 0.01</f>
        <v>7.4884771905939784E-3</v>
      </c>
      <c r="CD152" s="207">
        <f>INDEX($A$145:$H$158,MATCH($L152,$B$145:$B$158,0),MATCH($BQ$144,$A$145:$H$145,0))*고양시_Modal_split!P$3 * 0.01</f>
        <v>4.1602651058855438</v>
      </c>
      <c r="CE152" s="304">
        <f t="shared" si="84"/>
        <v>40.905586404290439</v>
      </c>
      <c r="CF152" s="304">
        <f t="shared" si="64"/>
        <v>6870.6776021206424</v>
      </c>
      <c r="CG152" s="304">
        <f t="shared" si="65"/>
        <v>831.25995228718807</v>
      </c>
      <c r="CH152" s="304">
        <f t="shared" si="66"/>
        <v>1339.657954740512</v>
      </c>
      <c r="CI152" s="304">
        <f t="shared" si="67"/>
        <v>134.40406961409721</v>
      </c>
      <c r="CJ152" s="304">
        <f t="shared" si="68"/>
        <v>1.4609138001532305</v>
      </c>
      <c r="CK152" s="304">
        <f t="shared" si="69"/>
        <v>406.13403644259802</v>
      </c>
      <c r="CL152" s="304">
        <f t="shared" si="70"/>
        <v>4447.0216076664337</v>
      </c>
      <c r="CM152" s="304">
        <f t="shared" si="71"/>
        <v>21.913707002298452</v>
      </c>
      <c r="CN152" s="304">
        <f t="shared" si="72"/>
        <v>441.19596764627556</v>
      </c>
      <c r="CO152" s="304">
        <f t="shared" si="73"/>
        <v>33.601017403524303</v>
      </c>
      <c r="CP152" s="304">
        <f t="shared" si="74"/>
        <v>14.609138001532305</v>
      </c>
      <c r="CQ152" s="304">
        <f t="shared" si="75"/>
        <v>26.296448402758141</v>
      </c>
      <c r="CR152" s="304">
        <f t="shared" si="76"/>
        <v>14609.138001532305</v>
      </c>
      <c r="CS152" s="305">
        <f t="shared" si="85"/>
        <v>0</v>
      </c>
      <c r="CV152" s="267"/>
      <c r="CW152" s="267" t="s">
        <v>301</v>
      </c>
      <c r="CX152" s="267">
        <f>INDEX($M$144:$Z$158,MATCH($CW152,$L$144:$L$158,0),MATCH(CX$145,$M$145:$Z$145,0))/INDEX(고양시_재차인원!$D$4:$H$35,MATCH("고양시",고양시_재차인원!$B$4:$B$35,0),MATCH($CX$144,고양시_재차인원!$D$4:$H$4,0))</f>
        <v>708.74379039485677</v>
      </c>
      <c r="CY152" s="267">
        <f>INDEX($M$144:$Z$158,MATCH($CW152,$L$144:$L$158,0),MATCH(CY$145,$M$145:$Z$145,0))/INDEX(고양시_재차인원!$K$4:$O$20,MATCH("경기도",고양시_재차인원!$K$4:$K$20,0),MATCH(CY$145,고양시_재차인원!$K$4:$O$4,0))</f>
        <v>5.8626051601439475E-3</v>
      </c>
      <c r="CZ152" s="267">
        <f>INDEX($M$144:$Z$158,MATCH($CW152,$L$144:$L$158,0),MATCH(CZ$145,$M$145:$Z$145,0))/INDEX(고양시_재차인원!$K$4:$O$20,MATCH("경기도",고양시_재차인원!$K$4:$K$20,0),MATCH(CZ$145,고양시_재차인원!$K$4:$O$4,0))</f>
        <v>1.6298042345200174</v>
      </c>
      <c r="DA152" s="267">
        <f>INDEX($M$144:$Z$158,MATCH($CW152,$L$144:$L$158,0),MATCH(DA$145,$M$145:$Z$145,0))/INDEX(고양시_재차인원!$D$4:$H$35,MATCH("고양시",고양시_재차인원!$B$4:$B$35,0),MATCH($CX$144,고양시_재차인원!$D$4:$H$4,0))</f>
        <v>45.511508547575318</v>
      </c>
      <c r="DB152" s="267">
        <f>INDEX($AA$144:$AN$158,MATCH($CW152,$L$144:$L$158,0),MATCH(DB$145,$AA$145:$AN$145,0))/INDEX(고양시_재차인원!$D$4:$H$35,MATCH("고양시",고양시_재차인원!$B$4:$B$35,0),MATCH($DB$144,고양시_재차인원!$D$4:$H$4,0))</f>
        <v>4074.3564992556617</v>
      </c>
      <c r="DC152" s="267">
        <f>INDEX($AA$144:$AN$158,MATCH($CW152,$L$144:$L$158,0),MATCH(DC$145,$AA$145:$AN$145,0))/INDEX(고양시_재차인원!$K$4:$O$20,MATCH("경기도",고양시_재차인원!$K$4:$K$20,0),MATCH(DC$145,고양시_재차인원!$K$4:$O$4,0))</f>
        <v>4.2428872925704769E-2</v>
      </c>
      <c r="DD152" s="267">
        <f>INDEX($AA$144:$AN$158,MATCH($CW152,$L$144:$L$158,0),MATCH(DD$145,$AA$145:$AN$145,0))/INDEX(고양시_재차인원!$K$4:$O$20,MATCH("경기도",고양시_재차인원!$K$4:$K$20,0),MATCH(DD$145,고양시_재차인원!$K$4:$O$4,0))</f>
        <v>11.795226673345924</v>
      </c>
      <c r="DE152" s="267">
        <f>INDEX($AA$144:$AN$158,MATCH($CW152,$L$144:$L$158,0),MATCH(DE$145,$AA$145:$AN$145,0))/INDEX(고양시_재차인원!$D$4:$H$35,MATCH("고양시",고양시_재차인원!$B$4:$B$35,0),MATCH($DB$144,고양시_재차인원!$D$4:$H$4,0))</f>
        <v>261.63207798749943</v>
      </c>
      <c r="DF152" s="267">
        <f>INDEX($AO$144:$BB$158,MATCH($CW152,$L$144:$L$158,0),MATCH(DF$145,$AO$145:$BB$145,0))/INDEX(고양시_재차인원!$D$4:$H$35,MATCH("고양시",고양시_재차인원!$B$4:$B$35,0),MATCH($DF$144,고양시_재차인원!$D$4:$H$4,0))</f>
        <v>253.51338765473943</v>
      </c>
      <c r="DG152" s="267">
        <f>INDEX($AO$144:$BB$158,MATCH($CW152,$L$144:$L$158,0),MATCH(DG$145,$AO$145:$BB$145,0))/INDEX(고양시_재차인원!$K$4:$O$20,MATCH("경기도",고양시_재차인원!$K$4:$K$20,0),MATCH(DG$145,고양시_재차인원!$K$4:$O$4,0))</f>
        <v>2.4340394194682096E-3</v>
      </c>
      <c r="DH152" s="267">
        <f>INDEX($AO$144:$BB$158,MATCH($CW152,$L$144:$L$158,0),MATCH(DH$145,$AO$145:$BB$145,0))/INDEX(고양시_재차인원!$K$4:$O$20,MATCH("경기도",고양시_재차인원!$K$4:$K$20,0),MATCH(DH$145,고양시_재차인원!$K$4:$O$4,0))</f>
        <v>0.67666295861216219</v>
      </c>
      <c r="DI152" s="267">
        <f>INDEX($AO$144:$BB$158,MATCH($CW152,$L$144:$L$158,0),MATCH(DI$145,$AO$145:$BB$145,0))/INDEX(고양시_재차인원!$D$4:$H$35,MATCH("고양시",고양시_재차인원!$B$4:$B$35,0),MATCH($DF$144,고양시_재차인원!$D$4:$H$4,0))</f>
        <v>16.279192658246078</v>
      </c>
      <c r="DJ152" s="267">
        <f>INDEX($BC$144:$BP$158,MATCH($CW152,$L$144:$L$158,0),MATCH(DJ$145,$BC$145:$BP$145,0))/INDEX(고양시_재차인원!$D$4:$H$35,MATCH("고양시",고양시_재차인원!$B$4:$B$35,0),MATCH($DJ$144,고양시_재차인원!$D$4:$H$4,0))</f>
        <v>0.38082080695678633</v>
      </c>
      <c r="DK152" s="267">
        <f>INDEX($BC$144:$BP$158,MATCH($CW152,$L$144:$L$158,0),MATCH(DK$145,$BC$145:$BP$145,0))/INDEX(고양시_재차인원!$K$4:$O$20,MATCH("경기도",고양시_재차인원!$K$4:$K$20,0),MATCH(DK$145,고양시_재차인원!$K$4:$O$4,0))</f>
        <v>3.8251012354136472E-6</v>
      </c>
      <c r="DL152" s="267">
        <f>INDEX($BC$144:$BP$158,MATCH($CW152,$L$144:$L$158,0),MATCH(DL$145,$BC$145:$BP$145,0))/INDEX(고양시_재차인원!$K$4:$O$20,MATCH("경기도",고양시_재차인원!$K$4:$K$20,0),MATCH(DL$145,고양시_재차인원!$K$4:$O$4,0))</f>
        <v>1.0633781434449938E-3</v>
      </c>
      <c r="DM152" s="267">
        <f>INDEX($BC$144:$BP$158,MATCH($CW152,$L$144:$L$158,0),MATCH(DM$145,$BC$145:$BP$145,0))/INDEX(고양시_재차인원!$D$4:$H$35,MATCH("고양시",고양시_재차인원!$B$4:$B$35,0),MATCH($DJ$144,고양시_재차인원!$D$4:$H$4,0))</f>
        <v>2.4454153455443224E-2</v>
      </c>
      <c r="DN152" s="267">
        <f>INDEX($BQ$144:$CD$158,MATCH($CW152,$L$144:$L$158,0),MATCH(DN$145,$BQ$145:$CD$145,0))/INDEX(고양시_재차인원!$D$4:$H$35,MATCH("고양시",고양시_재차인원!$B$4:$B$35,0),MATCH($DN$144,고양시_재차인원!$D$4:$H$4,0))</f>
        <v>1.5528354597602947</v>
      </c>
      <c r="DO152" s="267">
        <f>INDEX($BQ$144:$CD$158,MATCH($CW152,$L$144:$L$158,0),MATCH(DO$145,$BQ$145:$CD$145,0))/INDEX(고양시_재차인원!$K$4:$O$20,MATCH("경기도",고양시_재차인원!$K$4:$K$20,0),MATCH(DO$145,고양시_재차인원!$K$4:$O$4,0))</f>
        <v>1.445038244489595E-5</v>
      </c>
      <c r="DP152" s="267">
        <f>INDEX($BQ$144:$CD$158,MATCH($CW152,$L$144:$L$158,0),MATCH(DP$145,$BQ$145:$CD$145,0))/INDEX(고양시_재차인원!$K$4:$O$20,MATCH("경기도",고양시_재차인원!$K$4:$K$20,0),MATCH(DP$145,고양시_재차인원!$K$4:$O$4,0))</f>
        <v>4.0172063196810739E-3</v>
      </c>
      <c r="DQ152" s="267">
        <f>INDEX($BQ$144:$CD$158,MATCH($CW152,$L$144:$L$158,0),MATCH(DQ$145,$BQ$145:$CD$145,0))/INDEX(고양시_재차인원!$D$4:$H$35,MATCH("고양시",고양시_재차인원!$B$4:$B$35,0),MATCH($DN$144,고양시_재차인원!$D$4:$H$4,0))</f>
        <v>9.9714290633129712E-2</v>
      </c>
      <c r="DR152" s="270">
        <f t="shared" si="86"/>
        <v>5038.5473335719753</v>
      </c>
      <c r="DS152" s="270">
        <f t="shared" si="77"/>
        <v>5.0743792988997234E-2</v>
      </c>
      <c r="DT152" s="270">
        <f t="shared" si="78"/>
        <v>14.106774450941231</v>
      </c>
      <c r="DU152" s="270">
        <f t="shared" si="79"/>
        <v>323.5469476374094</v>
      </c>
      <c r="DW152" s="278"/>
      <c r="DX152" s="278" t="s">
        <v>301</v>
      </c>
      <c r="DY152" s="281">
        <f t="shared" si="87"/>
        <v>5362.0942812093845</v>
      </c>
      <c r="DZ152" s="281">
        <f t="shared" si="88"/>
        <v>14.157518243930229</v>
      </c>
      <c r="EB152" s="278"/>
      <c r="EC152" s="278" t="s">
        <v>301</v>
      </c>
      <c r="ED152" s="281">
        <f t="shared" si="89"/>
        <v>5362.0942812093845</v>
      </c>
      <c r="EE152" s="281">
        <f t="shared" si="80"/>
        <v>14.157518243930229</v>
      </c>
      <c r="EL152" s="306" t="s">
        <v>12</v>
      </c>
      <c r="EM152" s="306" t="s">
        <v>363</v>
      </c>
      <c r="EN152" s="306">
        <v>10963.124400000001</v>
      </c>
      <c r="EO152" s="306">
        <v>0.16368976107840044</v>
      </c>
      <c r="EP152" s="307">
        <v>849107</v>
      </c>
      <c r="EQ152" s="308">
        <f t="shared" si="90"/>
        <v>32.5070161994201</v>
      </c>
      <c r="ER152" s="308">
        <f t="shared" si="91"/>
        <v>8.5828157947872991E-2</v>
      </c>
      <c r="ET152" s="420" t="s">
        <v>12</v>
      </c>
      <c r="EU152" s="420" t="s">
        <v>363</v>
      </c>
      <c r="EV152" s="420">
        <v>10963.124400000001</v>
      </c>
      <c r="EW152" s="420">
        <v>0.16368976107840044</v>
      </c>
      <c r="EX152" s="421">
        <v>849107</v>
      </c>
      <c r="EY152" s="422">
        <f t="shared" si="92"/>
        <v>31.58056623773663</v>
      </c>
      <c r="EZ152" s="422">
        <f t="shared" si="81"/>
        <v>8.3382055446358613E-2</v>
      </c>
      <c r="FA152">
        <v>0</v>
      </c>
      <c r="FD152" s="306" t="s">
        <v>12</v>
      </c>
      <c r="FE152" s="306" t="s">
        <v>363</v>
      </c>
      <c r="FF152" s="306">
        <v>10963.124400000001</v>
      </c>
      <c r="FG152" s="306">
        <v>0.16368976107840044</v>
      </c>
      <c r="FH152" s="307">
        <v>849107</v>
      </c>
      <c r="FI152" s="308">
        <f t="shared" si="82"/>
        <v>31.58056623773663</v>
      </c>
      <c r="FJ152" s="308">
        <f t="shared" si="83"/>
        <v>8.3382055446358613E-2</v>
      </c>
      <c r="FL152" s="101"/>
      <c r="FM152" s="101"/>
      <c r="FN152" s="101"/>
      <c r="FO152" s="101"/>
      <c r="FP152" s="374"/>
      <c r="FQ152" s="404"/>
      <c r="FR152" s="404"/>
    </row>
    <row r="153" spans="1:174">
      <c r="A153" s="205"/>
      <c r="B153" s="205" t="s">
        <v>302</v>
      </c>
      <c r="C153" s="400">
        <f>$AB68*KTDB_TripDistribution_2040!T$12 * (1+KTDB_발생량도착량_증가율!$C$7*2) * (1+KTDB_발생량도착량_증가율!$D$8*5)* (1+KTDB_발생량도착량_증가율!$E$8*5)* (1+KTDB_발생량도착량_증가율!$F$8*5)</f>
        <v>20.113626125930818</v>
      </c>
      <c r="D153" s="400">
        <f>$AB68*KTDB_TripDistribution_2040!U$12 * (1+KTDB_발생량도착량_증가율!$C$7*2) * (1+KTDB_발생량도착량_증가율!$D$8*5)* (1+KTDB_발생량도착량_증가율!$E$8*5)* (1+KTDB_발생량도착량_증가율!$F$8*5)</f>
        <v>145.56642715323167</v>
      </c>
      <c r="E153" s="400">
        <f>$AB68*KTDB_TripDistribution_2040!V$12 * (1+KTDB_발생량도착량_증가율!$C$7*2) * (1+KTDB_발생량도착량_증가율!$D$8*5)* (1+KTDB_발생량도착량_증가율!$E$8*5)* (1+KTDB_발생량도착량_증가율!$F$8*5)</f>
        <v>8.3507856186172322</v>
      </c>
      <c r="F153" s="400">
        <f>$AB68*KTDB_TripDistribution_2040!W$12 * (1+KTDB_발생량도착량_증가율!$C$7*2) * (1+KTDB_발생량도착량_증가율!$D$8*5)* (1+KTDB_발생량도착량_증가율!$E$8*5)* (1+KTDB_발생량도착량_증가율!$F$8*5)</f>
        <v>1.3123288033447764E-2</v>
      </c>
      <c r="G153" s="400">
        <f>$AB68*KTDB_TripDistribution_2040!X$12 * (1+KTDB_발생량도착량_증가율!$C$7*2) * (1+KTDB_발생량도착량_증가율!$D$8*5)* (1+KTDB_발생량도착량_증가율!$E$8*5)* (1+KTDB_발생량도착량_증가율!$F$8*5)</f>
        <v>4.9576865904135833E-2</v>
      </c>
      <c r="H153" s="400">
        <f>$AB68*KTDB_TripDistribution_2040!Y$12 * (1+KTDB_발생량도착량_증가율!$C$7*2) * (1+KTDB_발생량도착량_증가율!$D$8*5)* (1+KTDB_발생량도착량_증가율!$E$8*5)* (1+KTDB_발생량도착량_증가율!$F$8*5)</f>
        <v>174.0935390517173</v>
      </c>
      <c r="I153" s="56"/>
      <c r="J153" s="56"/>
      <c r="K153" s="206"/>
      <c r="L153" s="206" t="s">
        <v>302</v>
      </c>
      <c r="M153" s="206">
        <f>INDEX($A$145:$H$158,MATCH($L153,$B$145:$B$158,0),MATCH($M$144,$A$145:$H$145,0))*고양시_Modal_split!C$3 * 0.01</f>
        <v>5.6318153152606291E-2</v>
      </c>
      <c r="N153" s="206">
        <f>INDEX($A$145:$H$158,MATCH($L153,$B$145:$B$158,0),MATCH($M$144,$A$145:$H$145,0))*고양시_Modal_split!D$3 * 0.01</f>
        <v>9.459438367025264</v>
      </c>
      <c r="O153" s="206">
        <f>INDEX($A$145:$H$158,MATCH($L153,$B$145:$B$158,0),MATCH($M$144,$A$145:$H$145,0))*고양시_Modal_split!E$3 * 0.01</f>
        <v>1.1444653265654634</v>
      </c>
      <c r="P153" s="206">
        <f>INDEX($A$145:$H$158,MATCH($L153,$B$145:$B$158,0),MATCH($M$144,$A$145:$H$145,0))*고양시_Modal_split!F$3 * 0.01</f>
        <v>1.844419515747856</v>
      </c>
      <c r="Q153" s="206">
        <f>INDEX($A$145:$H$158,MATCH($L153,$B$145:$B$158,0),MATCH($M$144,$A$145:$H$145,0))*고양시_Modal_split!G$3 * 0.01</f>
        <v>0.1850453603585635</v>
      </c>
      <c r="R153" s="206">
        <f>INDEX($A$145:$H$158,MATCH($L153,$B$145:$B$158,0),MATCH($M$144,$A$145:$H$145,0))*고양시_Modal_split!H$3 * 0.01</f>
        <v>2.0113626125930818E-3</v>
      </c>
      <c r="S153" s="206">
        <f>INDEX($A$145:$H$158,MATCH($L153,$B$145:$B$158,0),MATCH($M$144,$A$145:$H$145,0))*고양시_Modal_split!I$3 * 0.01</f>
        <v>0.55915880630087667</v>
      </c>
      <c r="T153" s="206">
        <f>INDEX($A$145:$H$158,MATCH($L153,$B$145:$B$158,0),MATCH($M$144,$A$145:$H$145,0))*고양시_Modal_split!J$3 * 0.01</f>
        <v>6.1225877927333414</v>
      </c>
      <c r="U153" s="206">
        <f>INDEX($A$145:$H$158,MATCH($L153,$B$145:$B$158,0),MATCH($M$144,$A$145:$H$145,0))*고양시_Modal_split!K$3 * 0.01</f>
        <v>3.0170439188896229E-2</v>
      </c>
      <c r="V153" s="206">
        <f>INDEX($A$145:$H$158,MATCH($L153,$B$145:$B$158,0),MATCH($M$144,$A$145:$H$145,0))*고양시_Modal_split!L$3 * 0.01</f>
        <v>0.60743150900311071</v>
      </c>
      <c r="W153" s="206">
        <f>INDEX($A$145:$H$158,MATCH($L153,$B$145:$B$158,0),MATCH($M$144,$A$145:$H$145,0))*고양시_Modal_split!M$3 * 0.01</f>
        <v>4.6261340089640876E-2</v>
      </c>
      <c r="X153" s="206">
        <f>INDEX($A$145:$H$158,MATCH($L153,$B$145:$B$158,0),MATCH($M$144,$A$145:$H$145,0))*고양시_Modal_split!N$3 * 0.01</f>
        <v>2.0113626125930817E-2</v>
      </c>
      <c r="Y153" s="206">
        <f>INDEX($A$145:$H$158,MATCH($L153,$B$145:$B$158,0),MATCH($M$144,$A$145:$H$145,0))*고양시_Modal_split!O$3 * 0.01</f>
        <v>3.6204527026675475E-2</v>
      </c>
      <c r="Z153" s="209">
        <f>INDEX($A$145:$H$158,MATCH($L153,$B$145:$B$158,0),MATCH($M$144,$A$145:$H$145,0))*고양시_Modal_split!P$3 * 0.01</f>
        <v>20.113626125930818</v>
      </c>
      <c r="AA153" s="207">
        <f>INDEX($A$145:$H$158,MATCH($L153,$B$145:$B$158,0),MATCH($AA$144,$A$145:$H$145,0))*고양시_Modal_split!C$3 * 0.01</f>
        <v>0.40758599602904866</v>
      </c>
      <c r="AB153" s="207">
        <f>INDEX($A$145:$H$158,MATCH($L153,$B$145:$B$158,0),MATCH($AA$144,$A$145:$H$145,0))*고양시_Modal_split!D$3 * 0.01</f>
        <v>68.459890690164855</v>
      </c>
      <c r="AC153" s="207">
        <f>INDEX($A$145:$H$158,MATCH($L153,$B$145:$B$158,0),MATCH($AA$144,$A$145:$H$145,0))*고양시_Modal_split!E$3 * 0.01</f>
        <v>8.2827297050188822</v>
      </c>
      <c r="AD153" s="207">
        <f>INDEX($A$145:$H$158,MATCH($L153,$B$145:$B$158,0),MATCH($AA$144,$A$145:$H$145,0))*고양시_Modal_split!F$3 * 0.01</f>
        <v>13.348441369951345</v>
      </c>
      <c r="AE153" s="207">
        <f>INDEX($A$145:$H$158,MATCH($L153,$B$145:$B$158,0),MATCH($AA$144,$A$145:$H$145,0))*고양시_Modal_split!G$3 * 0.01</f>
        <v>1.3392111298097313</v>
      </c>
      <c r="AF153" s="207">
        <f>INDEX($A$145:$H$158,MATCH($L153,$B$145:$B$158,0),MATCH($AA$144,$A$145:$H$145,0))*고양시_Modal_split!H$3 * 0.01</f>
        <v>1.4556642715323167E-2</v>
      </c>
      <c r="AG153" s="207">
        <f>INDEX($A$145:$H$158,MATCH($L153,$B$145:$B$158,0),MATCH($AA$144,$A$145:$H$145,0))*고양시_Modal_split!I$3 * 0.01</f>
        <v>4.0467466748598397</v>
      </c>
      <c r="AH153" s="207">
        <f>INDEX($A$145:$H$158,MATCH($L153,$B$145:$B$158,0),MATCH($AA$144,$A$145:$H$145,0))*고양시_Modal_split!J$3 * 0.01</f>
        <v>44.310420425443731</v>
      </c>
      <c r="AI153" s="207">
        <f>INDEX($A$145:$H$158,MATCH($L153,$B$145:$B$158,0),MATCH($AA$144,$A$145:$H$145,0))*고양시_Modal_split!K$3 * 0.01</f>
        <v>0.2183496407298475</v>
      </c>
      <c r="AJ153" s="207">
        <f>INDEX($A$145:$H$158,MATCH($L153,$B$145:$B$158,0),MATCH($AA$144,$A$145:$H$145,0))*고양시_Modal_split!L$3 * 0.01</f>
        <v>4.3961061000275965</v>
      </c>
      <c r="AK153" s="207">
        <f>INDEX($A$145:$H$158,MATCH($L153,$B$145:$B$158,0),MATCH($AA$144,$A$145:$H$145,0))*고양시_Modal_split!M$3 * 0.01</f>
        <v>0.33480278245243283</v>
      </c>
      <c r="AL153" s="207">
        <f>INDEX($A$145:$H$158,MATCH($L153,$B$145:$B$158,0),MATCH($AA$144,$A$145:$H$145,0))*고양시_Modal_split!N$3 * 0.01</f>
        <v>0.14556642715323168</v>
      </c>
      <c r="AM153" s="207">
        <f>INDEX($A$145:$H$158,MATCH($L153,$B$145:$B$158,0),MATCH($AA$144,$A$145:$H$145,0))*고양시_Modal_split!O$3 * 0.01</f>
        <v>0.26201956887581701</v>
      </c>
      <c r="AN153" s="207">
        <f>INDEX($A$145:$H$158,MATCH($L153,$B$145:$B$158,0),MATCH($AA$144,$A$145:$H$145,0))*고양시_Modal_split!P$3 * 0.01</f>
        <v>145.56642715323167</v>
      </c>
      <c r="AO153" s="303">
        <f>INDEX($A$145:$H$158,MATCH($L153,$B$145:$B$158,0),MATCH($AO$144,$A$145:$H$145,0))*고양시_Modal_split!C$3 * 0.01</f>
        <v>2.3382199732128246E-2</v>
      </c>
      <c r="AP153" s="303">
        <f>INDEX($A$145:$H$158,MATCH($L153,$B$145:$B$158,0),MATCH($AO$144,$A$145:$H$145,0))*고양시_Modal_split!D$3 * 0.01</f>
        <v>3.9273744764356846</v>
      </c>
      <c r="AQ153" s="303">
        <f>INDEX($A$145:$H$158,MATCH($L153,$B$145:$B$158,0),MATCH($AO$144,$A$145:$H$145,0))*고양시_Modal_split!E$3 * 0.01</f>
        <v>0.47515970169932048</v>
      </c>
      <c r="AR153" s="303">
        <f>INDEX($A$145:$H$158,MATCH($L153,$B$145:$B$158,0),MATCH($AO$144,$A$145:$H$145,0))*고양시_Modal_split!F$3 * 0.01</f>
        <v>0.76576704122720018</v>
      </c>
      <c r="AS153" s="303">
        <f>INDEX($A$145:$H$158,MATCH($L153,$B$145:$B$158,0),MATCH($AO$144,$A$145:$H$145,0))*고양시_Modal_split!G$3 * 0.01</f>
        <v>7.6827227691278532E-2</v>
      </c>
      <c r="AT153" s="303">
        <f>INDEX($A$145:$H$158,MATCH($L153,$B$145:$B$158,0),MATCH($AO$144,$A$145:$H$145,0))*고양시_Modal_split!H$3 * 0.01</f>
        <v>8.3507856186172322E-4</v>
      </c>
      <c r="AU153" s="303">
        <f>INDEX($A$145:$H$158,MATCH($L153,$B$145:$B$158,0),MATCH($AO$144,$A$145:$H$145,0))*고양시_Modal_split!I$3 * 0.01</f>
        <v>0.23215184019755902</v>
      </c>
      <c r="AV153" s="303">
        <f>INDEX($A$145:$H$158,MATCH($L153,$B$145:$B$158,0),MATCH($AO$144,$A$145:$H$145,0))*고양시_Modal_split!J$3 * 0.01</f>
        <v>2.5419791423070857</v>
      </c>
      <c r="AW153" s="303">
        <f>INDEX($A$145:$H$158,MATCH($L153,$B$145:$B$158,0),MATCH($AO$144,$A$145:$H$145,0))*고양시_Modal_split!K$3 * 0.01</f>
        <v>1.2526178427925846E-2</v>
      </c>
      <c r="AX153" s="303">
        <f>INDEX($A$145:$H$158,MATCH($L153,$B$145:$B$158,0),MATCH($AO$144,$A$145:$H$145,0))*고양시_Modal_split!L$3 * 0.01</f>
        <v>0.25219372568224041</v>
      </c>
      <c r="AY153" s="303">
        <f>INDEX($A$145:$H$158,MATCH($L153,$B$145:$B$158,0),MATCH($AO$144,$A$145:$H$145,0))*고양시_Modal_split!M$3 * 0.01</f>
        <v>1.9206806922819633E-2</v>
      </c>
      <c r="AZ153" s="303">
        <f>INDEX($A$145:$H$158,MATCH($L153,$B$145:$B$158,0),MATCH($AO$144,$A$145:$H$145,0))*고양시_Modal_split!N$3 * 0.01</f>
        <v>8.3507856186172333E-3</v>
      </c>
      <c r="BA153" s="207">
        <f>INDEX($A$145:$H$158,MATCH($L153,$B$145:$B$158,0),MATCH($AO$144,$A$145:$H$145,0))*고양시_Modal_split!O$3 * 0.01</f>
        <v>1.5031414113511016E-2</v>
      </c>
      <c r="BB153" s="207">
        <f>INDEX($A$145:$H$158,MATCH($L153,$B$145:$B$158,0),MATCH($AO$144,$A$145:$H$145,0))*고양시_Modal_split!P$3 * 0.01</f>
        <v>8.3507856186172322</v>
      </c>
      <c r="BC153" s="207">
        <f>INDEX($A$145:$H$158,MATCH($L153,$B$145:$B$158,0),MATCH($BC$144,$A$145:$H$145,0))*고양시_Modal_split!C$3 * 0.01</f>
        <v>3.6745206493653741E-5</v>
      </c>
      <c r="BD153" s="207">
        <f>INDEX($A$145:$H$158,MATCH($L153,$B$145:$B$158,0),MATCH($BC$144,$A$145:$H$145,0))*고양시_Modal_split!D$3 * 0.01</f>
        <v>6.1718823621304828E-3</v>
      </c>
      <c r="BE153" s="207">
        <f>INDEX($A$145:$H$158,MATCH($L153,$B$145:$B$158,0),MATCH($BC$144,$A$145:$H$145,0))*고양시_Modal_split!E$3 * 0.01</f>
        <v>7.4671508910317775E-4</v>
      </c>
      <c r="BF153" s="207">
        <f>INDEX($A$145:$H$158,MATCH($L153,$B$145:$B$158,0),MATCH($BC$144,$A$145:$H$145,0))*고양시_Modal_split!F$3 * 0.01</f>
        <v>1.2034055126671601E-3</v>
      </c>
      <c r="BG153" s="207">
        <f>INDEX($A$145:$H$158,MATCH($L153,$B$145:$B$158,0),MATCH($BC$144,$A$145:$H$145,0))*고양시_Modal_split!G$3 * 0.01</f>
        <v>1.2073424990771941E-4</v>
      </c>
      <c r="BH153" s="207">
        <f>INDEX($A$145:$H$158,MATCH($L153,$B$145:$B$158,0),MATCH($BC$144,$A$145:$H$145,0))*고양시_Modal_split!H$3 * 0.01</f>
        <v>1.3123288033447764E-6</v>
      </c>
      <c r="BI153" s="207">
        <f>INDEX($A$145:$H$158,MATCH($L153,$B$145:$B$158,0),MATCH($BC$144,$A$145:$H$145,0))*고양시_Modal_split!I$3 * 0.01</f>
        <v>3.6482740732984783E-4</v>
      </c>
      <c r="BJ153" s="207">
        <f>INDEX($A$145:$H$158,MATCH($L153,$B$145:$B$158,0),MATCH($BC$144,$A$145:$H$145,0))*고양시_Modal_split!J$3 * 0.01</f>
        <v>3.9947288773814994E-3</v>
      </c>
      <c r="BK153" s="207">
        <f>INDEX($A$145:$H$158,MATCH($L153,$B$145:$B$158,0),MATCH($BC$144,$A$145:$H$145,0))*고양시_Modal_split!K$3 * 0.01</f>
        <v>1.9684932050171648E-5</v>
      </c>
      <c r="BL153" s="207">
        <f>INDEX($A$145:$H$158,MATCH($L153,$B$145:$B$158,0),MATCH($BC$144,$A$145:$H$145,0))*고양시_Modal_split!L$3 * 0.01</f>
        <v>3.9632329861012249E-4</v>
      </c>
      <c r="BM153" s="207">
        <f>INDEX($A$145:$H$158,MATCH($L153,$B$145:$B$158,0),MATCH($BC$144,$A$145:$H$145,0))*고양시_Modal_split!M$3 * 0.01</f>
        <v>3.0183562476929852E-5</v>
      </c>
      <c r="BN153" s="207">
        <f>INDEX($A$145:$H$158,MATCH($L153,$B$145:$B$158,0),MATCH($BC$144,$A$145:$H$145,0))*고양시_Modal_split!N$3 * 0.01</f>
        <v>1.3123288033447765E-5</v>
      </c>
      <c r="BO153" s="207">
        <f>INDEX($A$145:$H$158,MATCH($L153,$B$145:$B$158,0),MATCH($BC$144,$A$145:$H$145,0))*고양시_Modal_split!O$3 * 0.01</f>
        <v>2.3621918460205974E-5</v>
      </c>
      <c r="BP153" s="207">
        <f>INDEX($A$145:$H$158,MATCH($L153,$B$145:$B$158,0),MATCH($BC$144,$A$145:$H$145,0))*고양시_Modal_split!P$3 * 0.01</f>
        <v>1.3123288033447764E-2</v>
      </c>
      <c r="BQ153" s="207">
        <f>INDEX($A$145:$H$158,MATCH($L153,$B$145:$B$158,0),MATCH($BQ$144,$A$145:$H$145,0))*고양시_Modal_split!C$3 * 0.01</f>
        <v>1.3881522453158032E-4</v>
      </c>
      <c r="BR153" s="207">
        <f>INDEX($A$145:$H$158,MATCH($L153,$B$145:$B$158,0),MATCH($BQ$144,$A$145:$H$145,0))*고양시_Modal_split!D$3 * 0.01</f>
        <v>2.3316000034715085E-2</v>
      </c>
      <c r="BS153" s="207">
        <f>INDEX($A$145:$H$158,MATCH($L153,$B$145:$B$158,0),MATCH($BQ$144,$A$145:$H$145,0))*고양시_Modal_split!E$3 * 0.01</f>
        <v>2.8209236699453287E-3</v>
      </c>
      <c r="BT153" s="207">
        <f>INDEX($A$145:$H$158,MATCH($L153,$B$145:$B$158,0),MATCH($BQ$144,$A$145:$H$145,0))*고양시_Modal_split!F$3 * 0.01</f>
        <v>4.5461986034092561E-3</v>
      </c>
      <c r="BU153" s="207">
        <f>INDEX($A$145:$H$158,MATCH($L153,$B$145:$B$158,0),MATCH($BQ$144,$A$145:$H$145,0))*고양시_Modal_split!G$3 * 0.01</f>
        <v>4.5610716631804964E-4</v>
      </c>
      <c r="BV153" s="207">
        <f>INDEX($A$145:$H$158,MATCH($L153,$B$145:$B$158,0),MATCH($BQ$144,$A$145:$H$145,0))*고양시_Modal_split!H$3 * 0.01</f>
        <v>4.9576865904135832E-6</v>
      </c>
      <c r="BW153" s="207">
        <f>INDEX($A$145:$H$158,MATCH($L153,$B$145:$B$158,0),MATCH($BQ$144,$A$145:$H$145,0))*고양시_Modal_split!I$3 * 0.01</f>
        <v>1.3782368721349761E-3</v>
      </c>
      <c r="BX153" s="207">
        <f>INDEX($A$145:$H$158,MATCH($L153,$B$145:$B$158,0),MATCH($BQ$144,$A$145:$H$145,0))*고양시_Modal_split!J$3 * 0.01</f>
        <v>1.5091197981218949E-2</v>
      </c>
      <c r="BY153" s="207">
        <f>INDEX($A$145:$H$158,MATCH($L153,$B$145:$B$158,0),MATCH($BQ$144,$A$145:$H$145,0))*고양시_Modal_split!K$3 * 0.01</f>
        <v>7.4365298856203751E-5</v>
      </c>
      <c r="BZ153" s="207">
        <f>INDEX($A$145:$H$158,MATCH($L153,$B$145:$B$158,0),MATCH($BQ$144,$A$145:$H$145,0))*고양시_Modal_split!L$3 * 0.01</f>
        <v>1.4972213503049022E-3</v>
      </c>
      <c r="CA153" s="207">
        <f>INDEX($A$145:$H$158,MATCH($L153,$B$145:$B$158,0),MATCH($BQ$144,$A$145:$H$145,0))*고양시_Modal_split!M$3 * 0.01</f>
        <v>1.1402679157951241E-4</v>
      </c>
      <c r="CB153" s="207">
        <f>INDEX($A$145:$H$158,MATCH($L153,$B$145:$B$158,0),MATCH($BQ$144,$A$145:$H$145,0))*고양시_Modal_split!N$3 * 0.01</f>
        <v>4.9576865904135837E-5</v>
      </c>
      <c r="CC153" s="207">
        <f>INDEX($A$145:$H$158,MATCH($L153,$B$145:$B$158,0),MATCH($BQ$144,$A$145:$H$145,0))*고양시_Modal_split!O$3 * 0.01</f>
        <v>8.9238358627444502E-5</v>
      </c>
      <c r="CD153" s="207">
        <f>INDEX($A$145:$H$158,MATCH($L153,$B$145:$B$158,0),MATCH($BQ$144,$A$145:$H$145,0))*고양시_Modal_split!P$3 * 0.01</f>
        <v>4.957686590413584E-2</v>
      </c>
      <c r="CE153" s="304">
        <f t="shared" si="84"/>
        <v>0.48746190934480843</v>
      </c>
      <c r="CF153" s="304">
        <f t="shared" si="64"/>
        <v>81.876191416022635</v>
      </c>
      <c r="CG153" s="304">
        <f t="shared" si="65"/>
        <v>9.9059223720427152</v>
      </c>
      <c r="CH153" s="304">
        <f t="shared" si="66"/>
        <v>15.964377531042476</v>
      </c>
      <c r="CI153" s="304">
        <f t="shared" si="67"/>
        <v>1.6016605592757991</v>
      </c>
      <c r="CJ153" s="304">
        <f t="shared" si="68"/>
        <v>1.7409353905171732E-2</v>
      </c>
      <c r="CK153" s="304">
        <f t="shared" si="69"/>
        <v>4.8398003856377398</v>
      </c>
      <c r="CL153" s="304">
        <f t="shared" si="70"/>
        <v>52.994073287342758</v>
      </c>
      <c r="CM153" s="304">
        <f t="shared" si="71"/>
        <v>0.26114030857757592</v>
      </c>
      <c r="CN153" s="304">
        <f t="shared" si="72"/>
        <v>5.2576248793618632</v>
      </c>
      <c r="CO153" s="304">
        <f t="shared" si="73"/>
        <v>0.40041513981894977</v>
      </c>
      <c r="CP153" s="304">
        <f t="shared" si="74"/>
        <v>0.17409353905171732</v>
      </c>
      <c r="CQ153" s="304">
        <f t="shared" si="75"/>
        <v>0.31336837029309117</v>
      </c>
      <c r="CR153" s="304">
        <f t="shared" si="76"/>
        <v>174.0935390517173</v>
      </c>
      <c r="CS153" s="305">
        <f t="shared" si="85"/>
        <v>0</v>
      </c>
      <c r="CV153" s="267"/>
      <c r="CW153" s="267" t="s">
        <v>302</v>
      </c>
      <c r="CX153" s="267">
        <f>INDEX($M$144:$Z$158,MATCH($CW153,$L$144:$L$158,0),MATCH(CX$145,$M$145:$Z$145,0))/INDEX(고양시_재차인원!$D$4:$H$35,MATCH("고양시",고양시_재차인원!$B$4:$B$35,0),MATCH($CX$144,고양시_재차인원!$D$4:$H$4,0))</f>
        <v>8.4459271134154132</v>
      </c>
      <c r="CY153" s="267">
        <f>INDEX($M$144:$Z$158,MATCH($CW153,$L$144:$L$158,0),MATCH(CY$145,$M$145:$Z$145,0))/INDEX(고양시_재차인원!$K$4:$O$20,MATCH("경기도",고양시_재차인원!$K$4:$K$20,0),MATCH(CY$145,고양시_재차인원!$K$4:$O$4,0))</f>
        <v>6.9863237672562761E-5</v>
      </c>
      <c r="CZ153" s="267">
        <f>INDEX($M$144:$Z$158,MATCH($CW153,$L$144:$L$158,0),MATCH(CZ$145,$M$145:$Z$145,0))/INDEX(고양시_재차인원!$K$4:$O$20,MATCH("경기도",고양시_재차인원!$K$4:$K$20,0),MATCH(CZ$145,고양시_재차인원!$K$4:$O$4,0))</f>
        <v>1.9421980072972446E-2</v>
      </c>
      <c r="DA153" s="267">
        <f>INDEX($M$144:$Z$158,MATCH($CW153,$L$144:$L$158,0),MATCH(DA$145,$M$145:$Z$145,0))/INDEX(고양시_재차인원!$D$4:$H$35,MATCH("고양시",고양시_재차인원!$B$4:$B$35,0),MATCH($CX$144,고양시_재차인원!$D$4:$H$4,0))</f>
        <v>0.54234956160992021</v>
      </c>
      <c r="DB153" s="267">
        <f>INDEX($AA$144:$AN$158,MATCH($CW153,$L$144:$L$158,0),MATCH(DB$145,$AA$145:$AN$145,0))/INDEX(고양시_재차인원!$D$4:$H$35,MATCH("고양시",고양시_재차인원!$B$4:$B$35,0),MATCH($DB$144,고양시_재차인원!$D$4:$H$4,0))</f>
        <v>48.553113964655928</v>
      </c>
      <c r="DC153" s="267">
        <f>INDEX($AA$144:$AN$158,MATCH($CW153,$L$144:$L$158,0),MATCH(DC$145,$AA$145:$AN$145,0))/INDEX(고양시_재차인원!$K$4:$O$20,MATCH("경기도",고양시_재차인원!$K$4:$K$20,0),MATCH(DC$145,고양시_재차인원!$K$4:$O$4,0))</f>
        <v>5.0561454377642129E-4</v>
      </c>
      <c r="DD153" s="267">
        <f>INDEX($AA$144:$AN$158,MATCH($CW153,$L$144:$L$158,0),MATCH(DD$145,$AA$145:$AN$145,0))/INDEX(고양시_재차인원!$K$4:$O$20,MATCH("경기도",고양시_재차인원!$K$4:$K$20,0),MATCH(DD$145,고양시_재차인원!$K$4:$O$4,0))</f>
        <v>0.14056084316984507</v>
      </c>
      <c r="DE153" s="267">
        <f>INDEX($AA$144:$AN$158,MATCH($CW153,$L$144:$L$158,0),MATCH(DE$145,$AA$145:$AN$145,0))/INDEX(고양시_재차인원!$D$4:$H$35,MATCH("고양시",고양시_재차인원!$B$4:$B$35,0),MATCH($DB$144,고양시_재차인원!$D$4:$H$4,0))</f>
        <v>3.1178057447004233</v>
      </c>
      <c r="DF153" s="267">
        <f>INDEX($AO$144:$BB$158,MATCH($CW153,$L$144:$L$158,0),MATCH(DF$145,$AO$145:$BB$145,0))/INDEX(고양시_재차인원!$D$4:$H$35,MATCH("고양시",고양시_재차인원!$B$4:$B$35,0),MATCH($DF$144,고양시_재차인원!$D$4:$H$4,0))</f>
        <v>3.0210572895659111</v>
      </c>
      <c r="DG153" s="267">
        <f>INDEX($AO$144:$BB$158,MATCH($CW153,$L$144:$L$158,0),MATCH(DG$145,$AO$145:$BB$145,0))/INDEX(고양시_재차인원!$K$4:$O$20,MATCH("경기도",고양시_재차인원!$K$4:$K$20,0),MATCH(DG$145,고양시_재차인원!$K$4:$O$4,0))</f>
        <v>2.9005854875363781E-5</v>
      </c>
      <c r="DH153" s="267">
        <f>INDEX($AO$144:$BB$158,MATCH($CW153,$L$144:$L$158,0),MATCH(DH$145,$AO$145:$BB$145,0))/INDEX(고양시_재차인원!$K$4:$O$20,MATCH("경기도",고양시_재차인원!$K$4:$K$20,0),MATCH(DH$145,고양시_재차인원!$K$4:$O$4,0))</f>
        <v>8.0636276553511296E-3</v>
      </c>
      <c r="DI153" s="267">
        <f>INDEX($AO$144:$BB$158,MATCH($CW153,$L$144:$L$158,0),MATCH(DI$145,$AO$145:$BB$145,0))/INDEX(고양시_재차인원!$D$4:$H$35,MATCH("고양시",고양시_재차인원!$B$4:$B$35,0),MATCH($DF$144,고양시_재차인원!$D$4:$H$4,0))</f>
        <v>0.19399517360172339</v>
      </c>
      <c r="DJ153" s="267">
        <f>INDEX($BC$144:$BP$158,MATCH($CW153,$L$144:$L$158,0),MATCH(DJ$145,$BC$145:$BP$145,0))/INDEX(고양시_재차인원!$D$4:$H$35,MATCH("고양시",고양시_재차인원!$B$4:$B$35,0),MATCH($DJ$144,고양시_재차인원!$D$4:$H$4,0))</f>
        <v>4.5381487956841779E-3</v>
      </c>
      <c r="DK153" s="267">
        <f>INDEX($BC$144:$BP$158,MATCH($CW153,$L$144:$L$158,0),MATCH(DK$145,$BC$145:$BP$145,0))/INDEX(고양시_재차인원!$K$4:$O$20,MATCH("경기도",고양시_재차인원!$K$4:$K$20,0),MATCH(DK$145,고양시_재차인원!$K$4:$O$4,0))</f>
        <v>4.5582799699367018E-8</v>
      </c>
      <c r="DL153" s="267">
        <f>INDEX($BC$144:$BP$158,MATCH($CW153,$L$144:$L$158,0),MATCH(DL$145,$BC$145:$BP$145,0))/INDEX(고양시_재차인원!$K$4:$O$20,MATCH("경기도",고양시_재차인원!$K$4:$K$20,0),MATCH(DL$145,고양시_재차인원!$K$4:$O$4,0))</f>
        <v>1.2672018316424031E-5</v>
      </c>
      <c r="DM153" s="267">
        <f>INDEX($BC$144:$BP$158,MATCH($CW153,$L$144:$L$158,0),MATCH(DM$145,$BC$145:$BP$145,0))/INDEX(고양시_재차인원!$D$4:$H$35,MATCH("고양시",고양시_재차인원!$B$4:$B$35,0),MATCH($DJ$144,고양시_재차인원!$D$4:$H$4,0))</f>
        <v>2.9141419015450183E-4</v>
      </c>
      <c r="DN153" s="267">
        <f>INDEX($BQ$144:$CD$158,MATCH($CW153,$L$144:$L$158,0),MATCH(DN$145,$BQ$145:$CD$145,0))/INDEX(고양시_재차인원!$D$4:$H$35,MATCH("고양시",고양시_재차인원!$B$4:$B$35,0),MATCH($DN$144,고양시_재차인원!$D$4:$H$4,0))</f>
        <v>1.8504761932313558E-2</v>
      </c>
      <c r="DO153" s="267">
        <f>INDEX($BQ$144:$CD$158,MATCH($CW153,$L$144:$L$158,0),MATCH(DO$145,$BQ$145:$CD$145,0))/INDEX(고양시_재차인원!$K$4:$O$20,MATCH("경기도",고양시_재차인원!$K$4:$K$20,0),MATCH(DO$145,고양시_재차인원!$K$4:$O$4,0))</f>
        <v>1.7220168775316372E-7</v>
      </c>
      <c r="DP153" s="267">
        <f>INDEX($BQ$144:$CD$158,MATCH($CW153,$L$144:$L$158,0),MATCH(DP$145,$BQ$145:$CD$145,0))/INDEX(고양시_재차인원!$K$4:$O$20,MATCH("경기도",고양시_재차인원!$K$4:$K$20,0),MATCH(DP$145,고양시_재차인원!$K$4:$O$4,0))</f>
        <v>4.7872069195379514E-5</v>
      </c>
      <c r="DQ153" s="267">
        <f>INDEX($BQ$144:$CD$158,MATCH($CW153,$L$144:$L$158,0),MATCH(DQ$145,$BQ$145:$CD$145,0))/INDEX(고양시_재차인원!$D$4:$H$35,MATCH("고양시",고양시_재차인원!$B$4:$B$35,0),MATCH($DN$144,고양시_재차인원!$D$4:$H$4,0))</f>
        <v>1.1882709129403986E-3</v>
      </c>
      <c r="DR153" s="270">
        <f t="shared" si="86"/>
        <v>60.043141278365248</v>
      </c>
      <c r="DS153" s="270">
        <f t="shared" si="77"/>
        <v>6.0470142081180047E-4</v>
      </c>
      <c r="DT153" s="270">
        <f t="shared" si="78"/>
        <v>0.16810699498568044</v>
      </c>
      <c r="DU153" s="270">
        <f t="shared" si="79"/>
        <v>3.8556301650151616</v>
      </c>
      <c r="DW153" s="278"/>
      <c r="DX153" s="278" t="s">
        <v>302</v>
      </c>
      <c r="DY153" s="281">
        <f t="shared" si="87"/>
        <v>63.898771443380411</v>
      </c>
      <c r="DZ153" s="281">
        <f t="shared" si="88"/>
        <v>0.16871169640649222</v>
      </c>
      <c r="EB153" s="278"/>
      <c r="EC153" s="278" t="s">
        <v>302</v>
      </c>
      <c r="ED153" s="281">
        <f t="shared" si="89"/>
        <v>63.898771443380411</v>
      </c>
      <c r="EE153" s="281">
        <f t="shared" si="80"/>
        <v>0.16871169640649222</v>
      </c>
      <c r="EL153" s="306" t="s">
        <v>667</v>
      </c>
      <c r="EM153" s="306" t="s">
        <v>568</v>
      </c>
      <c r="EN153" s="306">
        <v>26312.316800000001</v>
      </c>
      <c r="EO153" s="306">
        <v>0.1416840985854132</v>
      </c>
      <c r="EP153" s="307">
        <v>849108</v>
      </c>
      <c r="EQ153" s="308">
        <f t="shared" si="90"/>
        <v>612.75686797507365</v>
      </c>
      <c r="ER153" s="308">
        <f t="shared" si="91"/>
        <v>1.6178597545088369</v>
      </c>
      <c r="ET153" s="420" t="s">
        <v>667</v>
      </c>
      <c r="EU153" s="420" t="s">
        <v>568</v>
      </c>
      <c r="EV153" s="420">
        <v>26312.316800000001</v>
      </c>
      <c r="EW153" s="420">
        <v>0.1416840985854132</v>
      </c>
      <c r="EX153" s="421">
        <v>849108</v>
      </c>
      <c r="EY153" s="422">
        <f t="shared" si="92"/>
        <v>595.29329723778403</v>
      </c>
      <c r="EZ153" s="422">
        <f t="shared" si="81"/>
        <v>1.5717507515053351</v>
      </c>
      <c r="FA153">
        <v>0</v>
      </c>
      <c r="FD153" s="306" t="s">
        <v>667</v>
      </c>
      <c r="FE153" s="306" t="s">
        <v>568</v>
      </c>
      <c r="FF153" s="306">
        <v>26312.316800000001</v>
      </c>
      <c r="FG153" s="306">
        <v>0.1416840985854132</v>
      </c>
      <c r="FH153" s="307">
        <v>849108</v>
      </c>
      <c r="FI153" s="308">
        <f t="shared" si="82"/>
        <v>595.29329723778403</v>
      </c>
      <c r="FJ153" s="308">
        <f t="shared" si="83"/>
        <v>1.5717507515053351</v>
      </c>
      <c r="FL153" s="101"/>
      <c r="FM153" s="101"/>
      <c r="FN153" s="101"/>
      <c r="FO153" s="101"/>
      <c r="FP153" s="374"/>
      <c r="FQ153" s="404"/>
      <c r="FR153" s="404"/>
    </row>
    <row r="154" spans="1:174">
      <c r="A154" s="205"/>
      <c r="B154" s="205" t="s">
        <v>303</v>
      </c>
      <c r="C154" s="400">
        <f>$AB69*KTDB_TripDistribution_2040!T$12 * (1+KTDB_발생량도착량_증가율!$C$7*2) * (1+KTDB_발생량도착량_증가율!$D$8*5)* (1+KTDB_발생량도착량_증가율!$E$8*5)* (1+KTDB_발생량도착량_증가율!$F$8*5)</f>
        <v>35.594667808862994</v>
      </c>
      <c r="D154" s="400">
        <f>$AB69*KTDB_TripDistribution_2040!U$12 * (1+KTDB_발생량도착량_증가율!$C$7*2) * (1+KTDB_발생량도착량_증가율!$D$8*5)* (1+KTDB_발생량도착량_증가율!$E$8*5)* (1+KTDB_발생량도착량_증가율!$F$8*5)</f>
        <v>257.60589295047112</v>
      </c>
      <c r="E154" s="400">
        <f>$AB69*KTDB_TripDistribution_2040!V$12 * (1+KTDB_발생량도착량_증가율!$C$7*2) * (1+KTDB_발생량도착량_증가율!$D$8*5)* (1+KTDB_발생량도착량_증가율!$E$8*5)* (1+KTDB_발생량도착량_증가율!$F$8*5)</f>
        <v>14.778212450439241</v>
      </c>
      <c r="F154" s="400">
        <f>$AB69*KTDB_TripDistribution_2040!W$12 * (1+KTDB_발생량도착량_증가율!$C$7*2) * (1+KTDB_발생량도착량_증가율!$D$8*5)* (1+KTDB_발생량도착량_증가율!$E$8*5)* (1+KTDB_발생량도착량_증가율!$F$8*5)</f>
        <v>2.3224011184556248E-2</v>
      </c>
      <c r="G154" s="400">
        <f>$AB69*KTDB_TripDistribution_2040!X$12 * (1+KTDB_발생량도착량_증가율!$C$7*2) * (1+KTDB_발생량도착량_증가율!$D$8*5)* (1+KTDB_발생량도착량_증가율!$E$8*5)* (1+KTDB_발생량도착량_증가율!$F$8*5)</f>
        <v>8.7735153363878854E-2</v>
      </c>
      <c r="H154" s="400">
        <f>$AB69*KTDB_TripDistribution_2040!Y$12 * (1+KTDB_발생량도착량_증가율!$C$7*2) * (1+KTDB_발생량도착량_증가율!$D$8*5)* (1+KTDB_발생량도착량_증가율!$E$8*5)* (1+KTDB_발생량도착량_증가율!$F$8*5)</f>
        <v>308.08973237432195</v>
      </c>
      <c r="I154" s="56"/>
      <c r="J154" s="56"/>
      <c r="K154" s="206"/>
      <c r="L154" s="206" t="s">
        <v>303</v>
      </c>
      <c r="M154" s="206">
        <f>INDEX($A$145:$H$158,MATCH($L154,$B$145:$B$158,0),MATCH($M$144,$A$145:$H$145,0))*고양시_Modal_split!C$3 * 0.01</f>
        <v>9.9665069864816366E-2</v>
      </c>
      <c r="N154" s="206">
        <f>INDEX($A$145:$H$158,MATCH($L154,$B$145:$B$158,0),MATCH($M$144,$A$145:$H$145,0))*고양시_Modal_split!D$3 * 0.01</f>
        <v>16.740172270508268</v>
      </c>
      <c r="O154" s="206">
        <f>INDEX($A$145:$H$158,MATCH($L154,$B$145:$B$158,0),MATCH($M$144,$A$145:$H$145,0))*고양시_Modal_split!E$3 * 0.01</f>
        <v>2.0253365983243041</v>
      </c>
      <c r="P154" s="206">
        <f>INDEX($A$145:$H$158,MATCH($L154,$B$145:$B$158,0),MATCH($M$144,$A$145:$H$145,0))*고양시_Modal_split!F$3 * 0.01</f>
        <v>3.2640310380727362</v>
      </c>
      <c r="Q154" s="206">
        <f>INDEX($A$145:$H$158,MATCH($L154,$B$145:$B$158,0),MATCH($M$144,$A$145:$H$145,0))*고양시_Modal_split!G$3 * 0.01</f>
        <v>0.32747094384153952</v>
      </c>
      <c r="R154" s="206">
        <f>INDEX($A$145:$H$158,MATCH($L154,$B$145:$B$158,0),MATCH($M$144,$A$145:$H$145,0))*고양시_Modal_split!H$3 * 0.01</f>
        <v>3.5594667808862995E-3</v>
      </c>
      <c r="S154" s="206">
        <f>INDEX($A$145:$H$158,MATCH($L154,$B$145:$B$158,0),MATCH($M$144,$A$145:$H$145,0))*고양시_Modal_split!I$3 * 0.01</f>
        <v>0.98953176508639118</v>
      </c>
      <c r="T154" s="206">
        <f>INDEX($A$145:$H$158,MATCH($L154,$B$145:$B$158,0),MATCH($M$144,$A$145:$H$145,0))*고양시_Modal_split!J$3 * 0.01</f>
        <v>10.835016881017896</v>
      </c>
      <c r="U154" s="206">
        <f>INDEX($A$145:$H$158,MATCH($L154,$B$145:$B$158,0),MATCH($M$144,$A$145:$H$145,0))*고양시_Modal_split!K$3 * 0.01</f>
        <v>5.3392001713294494E-2</v>
      </c>
      <c r="V154" s="206">
        <f>INDEX($A$145:$H$158,MATCH($L154,$B$145:$B$158,0),MATCH($M$144,$A$145:$H$145,0))*고양시_Modal_split!L$3 * 0.01</f>
        <v>1.0749589678276623</v>
      </c>
      <c r="W154" s="206">
        <f>INDEX($A$145:$H$158,MATCH($L154,$B$145:$B$158,0),MATCH($M$144,$A$145:$H$145,0))*고양시_Modal_split!M$3 * 0.01</f>
        <v>8.186773596038488E-2</v>
      </c>
      <c r="X154" s="206">
        <f>INDEX($A$145:$H$158,MATCH($L154,$B$145:$B$158,0),MATCH($M$144,$A$145:$H$145,0))*고양시_Modal_split!N$3 * 0.01</f>
        <v>3.5594667808862994E-2</v>
      </c>
      <c r="Y154" s="206">
        <f>INDEX($A$145:$H$158,MATCH($L154,$B$145:$B$158,0),MATCH($M$144,$A$145:$H$145,0))*고양시_Modal_split!O$3 * 0.01</f>
        <v>6.4070402055953379E-2</v>
      </c>
      <c r="Z154" s="209">
        <f>INDEX($A$145:$H$158,MATCH($L154,$B$145:$B$158,0),MATCH($M$144,$A$145:$H$145,0))*고양시_Modal_split!P$3 * 0.01</f>
        <v>35.594667808862994</v>
      </c>
      <c r="AA154" s="207">
        <f>INDEX($A$145:$H$158,MATCH($L154,$B$145:$B$158,0),MATCH($AA$144,$A$145:$H$145,0))*고양시_Modal_split!C$3 * 0.01</f>
        <v>0.72129650026131897</v>
      </c>
      <c r="AB154" s="207">
        <f>INDEX($A$145:$H$158,MATCH($L154,$B$145:$B$158,0),MATCH($AA$144,$A$145:$H$145,0))*고양시_Modal_split!D$3 * 0.01</f>
        <v>121.15205145460658</v>
      </c>
      <c r="AC154" s="207">
        <f>INDEX($A$145:$H$158,MATCH($L154,$B$145:$B$158,0),MATCH($AA$144,$A$145:$H$145,0))*고양시_Modal_split!E$3 * 0.01</f>
        <v>14.657775308881806</v>
      </c>
      <c r="AD154" s="207">
        <f>INDEX($A$145:$H$158,MATCH($L154,$B$145:$B$158,0),MATCH($AA$144,$A$145:$H$145,0))*고양시_Modal_split!F$3 * 0.01</f>
        <v>23.622460383558202</v>
      </c>
      <c r="AE154" s="207">
        <f>INDEX($A$145:$H$158,MATCH($L154,$B$145:$B$158,0),MATCH($AA$144,$A$145:$H$145,0))*고양시_Modal_split!G$3 * 0.01</f>
        <v>2.3699742151443339</v>
      </c>
      <c r="AF154" s="207">
        <f>INDEX($A$145:$H$158,MATCH($L154,$B$145:$B$158,0),MATCH($AA$144,$A$145:$H$145,0))*고양시_Modal_split!H$3 * 0.01</f>
        <v>2.5760589295047112E-2</v>
      </c>
      <c r="AG154" s="207">
        <f>INDEX($A$145:$H$158,MATCH($L154,$B$145:$B$158,0),MATCH($AA$144,$A$145:$H$145,0))*고양시_Modal_split!I$3 * 0.01</f>
        <v>7.1614438240230971</v>
      </c>
      <c r="AH154" s="207">
        <f>INDEX($A$145:$H$158,MATCH($L154,$B$145:$B$158,0),MATCH($AA$144,$A$145:$H$145,0))*고양시_Modal_split!J$3 * 0.01</f>
        <v>78.415233814123411</v>
      </c>
      <c r="AI154" s="207">
        <f>INDEX($A$145:$H$158,MATCH($L154,$B$145:$B$158,0),MATCH($AA$144,$A$145:$H$145,0))*고양시_Modal_split!K$3 * 0.01</f>
        <v>0.3864088394257067</v>
      </c>
      <c r="AJ154" s="207">
        <f>INDEX($A$145:$H$158,MATCH($L154,$B$145:$B$158,0),MATCH($AA$144,$A$145:$H$145,0))*고양시_Modal_split!L$3 * 0.01</f>
        <v>7.7796979671042275</v>
      </c>
      <c r="AK154" s="207">
        <f>INDEX($A$145:$H$158,MATCH($L154,$B$145:$B$158,0),MATCH($AA$144,$A$145:$H$145,0))*고양시_Modal_split!M$3 * 0.01</f>
        <v>0.59249355378608348</v>
      </c>
      <c r="AL154" s="207">
        <f>INDEX($A$145:$H$158,MATCH($L154,$B$145:$B$158,0),MATCH($AA$144,$A$145:$H$145,0))*고양시_Modal_split!N$3 * 0.01</f>
        <v>0.25760589295047109</v>
      </c>
      <c r="AM154" s="207">
        <f>INDEX($A$145:$H$158,MATCH($L154,$B$145:$B$158,0),MATCH($AA$144,$A$145:$H$145,0))*고양시_Modal_split!O$3 * 0.01</f>
        <v>0.46369060731084799</v>
      </c>
      <c r="AN154" s="207">
        <f>INDEX($A$145:$H$158,MATCH($L154,$B$145:$B$158,0),MATCH($AA$144,$A$145:$H$145,0))*고양시_Modal_split!P$3 * 0.01</f>
        <v>257.60589295047112</v>
      </c>
      <c r="AO154" s="303">
        <f>INDEX($A$145:$H$158,MATCH($L154,$B$145:$B$158,0),MATCH($AO$144,$A$145:$H$145,0))*고양시_Modal_split!C$3 * 0.01</f>
        <v>4.1378994861229874E-2</v>
      </c>
      <c r="AP154" s="303">
        <f>INDEX($A$145:$H$158,MATCH($L154,$B$145:$B$158,0),MATCH($AO$144,$A$145:$H$145,0))*고양시_Modal_split!D$3 * 0.01</f>
        <v>6.9501933154415756</v>
      </c>
      <c r="AQ154" s="303">
        <f>INDEX($A$145:$H$158,MATCH($L154,$B$145:$B$158,0),MATCH($AO$144,$A$145:$H$145,0))*고양시_Modal_split!E$3 * 0.01</f>
        <v>0.84088028842999285</v>
      </c>
      <c r="AR154" s="303">
        <f>INDEX($A$145:$H$158,MATCH($L154,$B$145:$B$158,0),MATCH($AO$144,$A$145:$H$145,0))*고양시_Modal_split!F$3 * 0.01</f>
        <v>1.3551620817052785</v>
      </c>
      <c r="AS154" s="303">
        <f>INDEX($A$145:$H$158,MATCH($L154,$B$145:$B$158,0),MATCH($AO$144,$A$145:$H$145,0))*고양시_Modal_split!G$3 * 0.01</f>
        <v>0.13595955454404102</v>
      </c>
      <c r="AT154" s="303">
        <f>INDEX($A$145:$H$158,MATCH($L154,$B$145:$B$158,0),MATCH($AO$144,$A$145:$H$145,0))*고양시_Modal_split!H$3 * 0.01</f>
        <v>1.477821245043924E-3</v>
      </c>
      <c r="AU154" s="303">
        <f>INDEX($A$145:$H$158,MATCH($L154,$B$145:$B$158,0),MATCH($AO$144,$A$145:$H$145,0))*고양시_Modal_split!I$3 * 0.01</f>
        <v>0.41083430612221089</v>
      </c>
      <c r="AV154" s="303">
        <f>INDEX($A$145:$H$158,MATCH($L154,$B$145:$B$158,0),MATCH($AO$144,$A$145:$H$145,0))*고양시_Modal_split!J$3 * 0.01</f>
        <v>4.4984878699137054</v>
      </c>
      <c r="AW154" s="303">
        <f>INDEX($A$145:$H$158,MATCH($L154,$B$145:$B$158,0),MATCH($AO$144,$A$145:$H$145,0))*고양시_Modal_split!K$3 * 0.01</f>
        <v>2.2167318675658861E-2</v>
      </c>
      <c r="AX154" s="303">
        <f>INDEX($A$145:$H$158,MATCH($L154,$B$145:$B$158,0),MATCH($AO$144,$A$145:$H$145,0))*고양시_Modal_split!L$3 * 0.01</f>
        <v>0.44630201600326508</v>
      </c>
      <c r="AY154" s="303">
        <f>INDEX($A$145:$H$158,MATCH($L154,$B$145:$B$158,0),MATCH($AO$144,$A$145:$H$145,0))*고양시_Modal_split!M$3 * 0.01</f>
        <v>3.3989888636010254E-2</v>
      </c>
      <c r="AZ154" s="303">
        <f>INDEX($A$145:$H$158,MATCH($L154,$B$145:$B$158,0),MATCH($AO$144,$A$145:$H$145,0))*고양시_Modal_split!N$3 * 0.01</f>
        <v>1.4778212450439244E-2</v>
      </c>
      <c r="BA154" s="207">
        <f>INDEX($A$145:$H$158,MATCH($L154,$B$145:$B$158,0),MATCH($AO$144,$A$145:$H$145,0))*고양시_Modal_split!O$3 * 0.01</f>
        <v>2.6600782410790634E-2</v>
      </c>
      <c r="BB154" s="207">
        <f>INDEX($A$145:$H$158,MATCH($L154,$B$145:$B$158,0),MATCH($AO$144,$A$145:$H$145,0))*고양시_Modal_split!P$3 * 0.01</f>
        <v>14.778212450439241</v>
      </c>
      <c r="BC154" s="207">
        <f>INDEX($A$145:$H$158,MATCH($L154,$B$145:$B$158,0),MATCH($BC$144,$A$145:$H$145,0))*고양시_Modal_split!C$3 * 0.01</f>
        <v>6.5027231316757482E-5</v>
      </c>
      <c r="BD154" s="207">
        <f>INDEX($A$145:$H$158,MATCH($L154,$B$145:$B$158,0),MATCH($BC$144,$A$145:$H$145,0))*고양시_Modal_split!D$3 * 0.01</f>
        <v>1.0922252460096805E-2</v>
      </c>
      <c r="BE154" s="207">
        <f>INDEX($A$145:$H$158,MATCH($L154,$B$145:$B$158,0),MATCH($BC$144,$A$145:$H$145,0))*고양시_Modal_split!E$3 * 0.01</f>
        <v>1.3214462364012506E-3</v>
      </c>
      <c r="BF154" s="207">
        <f>INDEX($A$145:$H$158,MATCH($L154,$B$145:$B$158,0),MATCH($BC$144,$A$145:$H$145,0))*고양시_Modal_split!F$3 * 0.01</f>
        <v>2.1296418256238079E-3</v>
      </c>
      <c r="BG154" s="207">
        <f>INDEX($A$145:$H$158,MATCH($L154,$B$145:$B$158,0),MATCH($BC$144,$A$145:$H$145,0))*고양시_Modal_split!G$3 * 0.01</f>
        <v>2.1366090289791747E-4</v>
      </c>
      <c r="BH154" s="207">
        <f>INDEX($A$145:$H$158,MATCH($L154,$B$145:$B$158,0),MATCH($BC$144,$A$145:$H$145,0))*고양시_Modal_split!H$3 * 0.01</f>
        <v>2.322401118455625E-6</v>
      </c>
      <c r="BI154" s="207">
        <f>INDEX($A$145:$H$158,MATCH($L154,$B$145:$B$158,0),MATCH($BC$144,$A$145:$H$145,0))*고양시_Modal_split!I$3 * 0.01</f>
        <v>6.4562751093066363E-4</v>
      </c>
      <c r="BJ154" s="207">
        <f>INDEX($A$145:$H$158,MATCH($L154,$B$145:$B$158,0),MATCH($BC$144,$A$145:$H$145,0))*고양시_Modal_split!J$3 * 0.01</f>
        <v>7.069389004578922E-3</v>
      </c>
      <c r="BK154" s="207">
        <f>INDEX($A$145:$H$158,MATCH($L154,$B$145:$B$158,0),MATCH($BC$144,$A$145:$H$145,0))*고양시_Modal_split!K$3 * 0.01</f>
        <v>3.4836016776834367E-5</v>
      </c>
      <c r="BL154" s="207">
        <f>INDEX($A$145:$H$158,MATCH($L154,$B$145:$B$158,0),MATCH($BC$144,$A$145:$H$145,0))*고양시_Modal_split!L$3 * 0.01</f>
        <v>7.0136513777359865E-4</v>
      </c>
      <c r="BM154" s="207">
        <f>INDEX($A$145:$H$158,MATCH($L154,$B$145:$B$158,0),MATCH($BC$144,$A$145:$H$145,0))*고양시_Modal_split!M$3 * 0.01</f>
        <v>5.3415225724479367E-5</v>
      </c>
      <c r="BN154" s="207">
        <f>INDEX($A$145:$H$158,MATCH($L154,$B$145:$B$158,0),MATCH($BC$144,$A$145:$H$145,0))*고양시_Modal_split!N$3 * 0.01</f>
        <v>2.3224011184556251E-5</v>
      </c>
      <c r="BO154" s="207">
        <f>INDEX($A$145:$H$158,MATCH($L154,$B$145:$B$158,0),MATCH($BC$144,$A$145:$H$145,0))*고양시_Modal_split!O$3 * 0.01</f>
        <v>4.1803220132201251E-5</v>
      </c>
      <c r="BP154" s="207">
        <f>INDEX($A$145:$H$158,MATCH($L154,$B$145:$B$158,0),MATCH($BC$144,$A$145:$H$145,0))*고양시_Modal_split!P$3 * 0.01</f>
        <v>2.3224011184556251E-2</v>
      </c>
      <c r="BQ154" s="207">
        <f>INDEX($A$145:$H$158,MATCH($L154,$B$145:$B$158,0),MATCH($BQ$144,$A$145:$H$145,0))*고양시_Modal_split!C$3 * 0.01</f>
        <v>2.4565842941886077E-4</v>
      </c>
      <c r="BR154" s="207">
        <f>INDEX($A$145:$H$158,MATCH($L154,$B$145:$B$158,0),MATCH($BQ$144,$A$145:$H$145,0))*고양시_Modal_split!D$3 * 0.01</f>
        <v>4.1261842627032232E-2</v>
      </c>
      <c r="BS154" s="207">
        <f>INDEX($A$145:$H$158,MATCH($L154,$B$145:$B$158,0),MATCH($BQ$144,$A$145:$H$145,0))*고양시_Modal_split!E$3 * 0.01</f>
        <v>4.9921302264047066E-3</v>
      </c>
      <c r="BT154" s="207">
        <f>INDEX($A$145:$H$158,MATCH($L154,$B$145:$B$158,0),MATCH($BQ$144,$A$145:$H$145,0))*고양시_Modal_split!F$3 * 0.01</f>
        <v>8.045313563467691E-3</v>
      </c>
      <c r="BU154" s="207">
        <f>INDEX($A$145:$H$158,MATCH($L154,$B$145:$B$158,0),MATCH($BQ$144,$A$145:$H$145,0))*고양시_Modal_split!G$3 * 0.01</f>
        <v>8.0716341094768534E-4</v>
      </c>
      <c r="BV154" s="207">
        <f>INDEX($A$145:$H$158,MATCH($L154,$B$145:$B$158,0),MATCH($BQ$144,$A$145:$H$145,0))*고양시_Modal_split!H$3 * 0.01</f>
        <v>8.7735153363878857E-6</v>
      </c>
      <c r="BW154" s="207">
        <f>INDEX($A$145:$H$158,MATCH($L154,$B$145:$B$158,0),MATCH($BQ$144,$A$145:$H$145,0))*고양시_Modal_split!I$3 * 0.01</f>
        <v>2.4390372635158318E-3</v>
      </c>
      <c r="BX154" s="207">
        <f>INDEX($A$145:$H$158,MATCH($L154,$B$145:$B$158,0),MATCH($BQ$144,$A$145:$H$145,0))*고양시_Modal_split!J$3 * 0.01</f>
        <v>2.6706580683964726E-2</v>
      </c>
      <c r="BY154" s="207">
        <f>INDEX($A$145:$H$158,MATCH($L154,$B$145:$B$158,0),MATCH($BQ$144,$A$145:$H$145,0))*고양시_Modal_split!K$3 * 0.01</f>
        <v>1.3160273004581829E-4</v>
      </c>
      <c r="BZ154" s="207">
        <f>INDEX($A$145:$H$158,MATCH($L154,$B$145:$B$158,0),MATCH($BQ$144,$A$145:$H$145,0))*고양시_Modal_split!L$3 * 0.01</f>
        <v>2.6496016315891414E-3</v>
      </c>
      <c r="CA154" s="207">
        <f>INDEX($A$145:$H$158,MATCH($L154,$B$145:$B$158,0),MATCH($BQ$144,$A$145:$H$145,0))*고양시_Modal_split!M$3 * 0.01</f>
        <v>2.0179085273692134E-4</v>
      </c>
      <c r="CB154" s="207">
        <f>INDEX($A$145:$H$158,MATCH($L154,$B$145:$B$158,0),MATCH($BQ$144,$A$145:$H$145,0))*고양시_Modal_split!N$3 * 0.01</f>
        <v>8.773515336387886E-5</v>
      </c>
      <c r="CC154" s="207">
        <f>INDEX($A$145:$H$158,MATCH($L154,$B$145:$B$158,0),MATCH($BQ$144,$A$145:$H$145,0))*고양시_Modal_split!O$3 * 0.01</f>
        <v>1.5792327605498193E-4</v>
      </c>
      <c r="CD154" s="207">
        <f>INDEX($A$145:$H$158,MATCH($L154,$B$145:$B$158,0),MATCH($BQ$144,$A$145:$H$145,0))*고양시_Modal_split!P$3 * 0.01</f>
        <v>8.7735153363878868E-2</v>
      </c>
      <c r="CE154" s="304">
        <f t="shared" si="84"/>
        <v>0.86265125064810078</v>
      </c>
      <c r="CF154" s="304">
        <f t="shared" si="64"/>
        <v>144.89460113564351</v>
      </c>
      <c r="CG154" s="304">
        <f t="shared" si="65"/>
        <v>17.53030577209891</v>
      </c>
      <c r="CH154" s="304">
        <f t="shared" si="66"/>
        <v>28.25182845872531</v>
      </c>
      <c r="CI154" s="304">
        <f t="shared" si="67"/>
        <v>2.8344255378437602</v>
      </c>
      <c r="CJ154" s="304">
        <f t="shared" si="68"/>
        <v>3.0808973237432181E-2</v>
      </c>
      <c r="CK154" s="304">
        <f t="shared" si="69"/>
        <v>8.564894560006147</v>
      </c>
      <c r="CL154" s="304">
        <f t="shared" si="70"/>
        <v>93.782514534743555</v>
      </c>
      <c r="CM154" s="304">
        <f t="shared" si="71"/>
        <v>0.4621345985614827</v>
      </c>
      <c r="CN154" s="304">
        <f t="shared" si="72"/>
        <v>9.3043099177045185</v>
      </c>
      <c r="CO154" s="304">
        <f t="shared" si="73"/>
        <v>0.70860638446094004</v>
      </c>
      <c r="CP154" s="304">
        <f t="shared" si="74"/>
        <v>0.30808973237432175</v>
      </c>
      <c r="CQ154" s="304">
        <f t="shared" si="75"/>
        <v>0.55456151827377931</v>
      </c>
      <c r="CR154" s="304">
        <f t="shared" si="76"/>
        <v>308.08973237432178</v>
      </c>
      <c r="CS154" s="305">
        <f t="shared" si="85"/>
        <v>0</v>
      </c>
      <c r="CV154" s="267"/>
      <c r="CW154" s="267" t="s">
        <v>303</v>
      </c>
      <c r="CX154" s="267">
        <f>INDEX($M$144:$Z$158,MATCH($CW154,$L$144:$L$158,0),MATCH(CX$145,$M$145:$Z$145,0))/INDEX(고양시_재차인원!$D$4:$H$35,MATCH("고양시",고양시_재차인원!$B$4:$B$35,0),MATCH($CX$144,고양시_재차인원!$D$4:$H$4,0))</f>
        <v>14.94658238438238</v>
      </c>
      <c r="CY154" s="267">
        <f>INDEX($M$144:$Z$158,MATCH($CW154,$L$144:$L$158,0),MATCH(CY$145,$M$145:$Z$145,0))/INDEX(고양시_재차인원!$K$4:$O$20,MATCH("경기도",고양시_재차인원!$K$4:$K$20,0),MATCH(CY$145,고양시_재차인원!$K$4:$O$4,0))</f>
        <v>1.2363552556048278E-4</v>
      </c>
      <c r="CZ154" s="267">
        <f>INDEX($M$144:$Z$158,MATCH($CW154,$L$144:$L$158,0),MATCH(CZ$145,$M$145:$Z$145,0))/INDEX(고양시_재차인원!$K$4:$O$20,MATCH("경기도",고양시_재차인원!$K$4:$K$20,0),MATCH(CZ$145,고양시_재차인원!$K$4:$O$4,0))</f>
        <v>3.4370676105814214E-2</v>
      </c>
      <c r="DA154" s="267">
        <f>INDEX($M$144:$Z$158,MATCH($CW154,$L$144:$L$158,0),MATCH(DA$145,$M$145:$Z$145,0))/INDEX(고양시_재차인원!$D$4:$H$35,MATCH("고양시",고양시_재차인원!$B$4:$B$35,0),MATCH($CX$144,고양시_재차인원!$D$4:$H$4,0))</f>
        <v>0.95978479270326988</v>
      </c>
      <c r="DB154" s="267">
        <f>INDEX($AA$144:$AN$158,MATCH($CW154,$L$144:$L$158,0),MATCH(DB$145,$AA$145:$AN$145,0))/INDEX(고양시_재차인원!$D$4:$H$35,MATCH("고양시",고양시_재차인원!$B$4:$B$35,0),MATCH($DB$144,고양시_재차인원!$D$4:$H$4,0))</f>
        <v>85.923440747947936</v>
      </c>
      <c r="DC154" s="267">
        <f>INDEX($AA$144:$AN$158,MATCH($CW154,$L$144:$L$158,0),MATCH(DC$145,$AA$145:$AN$145,0))/INDEX(고양시_재차인원!$K$4:$O$20,MATCH("경기도",고양시_재차인원!$K$4:$K$20,0),MATCH(DC$145,고양시_재차인원!$K$4:$O$4,0))</f>
        <v>8.9477559204748569E-4</v>
      </c>
      <c r="DD154" s="267">
        <f>INDEX($AA$144:$AN$158,MATCH($CW154,$L$144:$L$158,0),MATCH(DD$145,$AA$145:$AN$145,0))/INDEX(고양시_재차인원!$K$4:$O$20,MATCH("경기도",고양시_재차인원!$K$4:$K$20,0),MATCH(DD$145,고양시_재차인원!$K$4:$O$4,0))</f>
        <v>0.24874761458920103</v>
      </c>
      <c r="DE154" s="267">
        <f>INDEX($AA$144:$AN$158,MATCH($CW154,$L$144:$L$158,0),MATCH(DE$145,$AA$145:$AN$145,0))/INDEX(고양시_재차인원!$D$4:$H$35,MATCH("고양시",고양시_재차인원!$B$4:$B$35,0),MATCH($DB$144,고양시_재차인원!$D$4:$H$4,0))</f>
        <v>5.5175162887264024</v>
      </c>
      <c r="DF154" s="267">
        <f>INDEX($AO$144:$BB$158,MATCH($CW154,$L$144:$L$158,0),MATCH(DF$145,$AO$145:$BB$145,0))/INDEX(고양시_재차인원!$D$4:$H$35,MATCH("고양시",고양시_재차인원!$B$4:$B$35,0),MATCH($DF$144,고양시_재차인원!$D$4:$H$4,0))</f>
        <v>5.3463025503396731</v>
      </c>
      <c r="DG154" s="267">
        <f>INDEX($AO$144:$BB$158,MATCH($CW154,$L$144:$L$158,0),MATCH(DG$145,$AO$145:$BB$145,0))/INDEX(고양시_재차인원!$K$4:$O$20,MATCH("경기도",고양시_재차인원!$K$4:$K$20,0),MATCH(DG$145,고양시_재차인원!$K$4:$O$4,0))</f>
        <v>5.1331060960191871E-5</v>
      </c>
      <c r="DH154" s="267">
        <f>INDEX($AO$144:$BB$158,MATCH($CW154,$L$144:$L$158,0),MATCH(DH$145,$AO$145:$BB$145,0))/INDEX(고양시_재차인원!$K$4:$O$20,MATCH("경기도",고양시_재차인원!$K$4:$K$20,0),MATCH(DH$145,고양시_재차인원!$K$4:$O$4,0))</f>
        <v>1.4270034946933342E-2</v>
      </c>
      <c r="DI154" s="267">
        <f>INDEX($AO$144:$BB$158,MATCH($CW154,$L$144:$L$158,0),MATCH(DI$145,$AO$145:$BB$145,0))/INDEX(고양시_재차인원!$D$4:$H$35,MATCH("고양시",고양시_재차인원!$B$4:$B$35,0),MATCH($DF$144,고양시_재차인원!$D$4:$H$4,0))</f>
        <v>0.34330924307943467</v>
      </c>
      <c r="DJ154" s="267">
        <f>INDEX($BC$144:$BP$158,MATCH($CW154,$L$144:$L$158,0),MATCH(DJ$145,$BC$145:$BP$145,0))/INDEX(고양시_재차인원!$D$4:$H$35,MATCH("고양시",고양시_재차인원!$B$4:$B$35,0),MATCH($DJ$144,고양시_재차인원!$D$4:$H$4,0))</f>
        <v>8.0310679853652974E-3</v>
      </c>
      <c r="DK154" s="267">
        <f>INDEX($BC$144:$BP$158,MATCH($CW154,$L$144:$L$158,0),MATCH(DK$145,$BC$145:$BP$145,0))/INDEX(고양시_재차인원!$K$4:$O$20,MATCH("경기도",고양시_재차인원!$K$4:$K$20,0),MATCH(DK$145,고양시_재차인원!$K$4:$O$4,0))</f>
        <v>8.0666937077305494E-8</v>
      </c>
      <c r="DL154" s="267">
        <f>INDEX($BC$144:$BP$158,MATCH($CW154,$L$144:$L$158,0),MATCH(DL$145,$BC$145:$BP$145,0))/INDEX(고양시_재차인원!$K$4:$O$20,MATCH("경기도",고양시_재차인원!$K$4:$K$20,0),MATCH(DL$145,고양시_재차인원!$K$4:$O$4,0))</f>
        <v>2.2425408507490923E-5</v>
      </c>
      <c r="DM154" s="267">
        <f>INDEX($BC$144:$BP$158,MATCH($CW154,$L$144:$L$158,0),MATCH(DM$145,$BC$145:$BP$145,0))/INDEX(고양시_재차인원!$D$4:$H$35,MATCH("고양시",고양시_재차인원!$B$4:$B$35,0),MATCH($DJ$144,고양시_재차인원!$D$4:$H$4,0))</f>
        <v>5.1570966012764606E-4</v>
      </c>
      <c r="DN154" s="267">
        <f>INDEX($BQ$144:$CD$158,MATCH($CW154,$L$144:$L$158,0),MATCH(DN$145,$BQ$145:$CD$145,0))/INDEX(고양시_재차인원!$D$4:$H$35,MATCH("고양시",고양시_재차인원!$B$4:$B$35,0),MATCH($DN$144,고양시_재차인원!$D$4:$H$4,0))</f>
        <v>3.2747494148438278E-2</v>
      </c>
      <c r="DO154" s="267">
        <f>INDEX($BQ$144:$CD$158,MATCH($CW154,$L$144:$L$158,0),MATCH(DO$145,$BQ$145:$CD$145,0))/INDEX(고양시_재차인원!$K$4:$O$20,MATCH("경기도",고양시_재차인원!$K$4:$K$20,0),MATCH(DO$145,고양시_재차인원!$K$4:$O$4,0))</f>
        <v>3.0474176229204187E-7</v>
      </c>
      <c r="DP154" s="267">
        <f>INDEX($BQ$144:$CD$158,MATCH($CW154,$L$144:$L$158,0),MATCH(DP$145,$BQ$145:$CD$145,0))/INDEX(고양시_재차인원!$K$4:$O$20,MATCH("경기도",고양시_재차인원!$K$4:$K$20,0),MATCH(DP$145,고양시_재차인원!$K$4:$O$4,0))</f>
        <v>8.4718209917187634E-5</v>
      </c>
      <c r="DQ154" s="267">
        <f>INDEX($BQ$144:$CD$158,MATCH($CW154,$L$144:$L$158,0),MATCH(DQ$145,$BQ$145:$CD$145,0))/INDEX(고양시_재차인원!$D$4:$H$35,MATCH("고양시",고양시_재차인원!$B$4:$B$35,0),MATCH($DN$144,고양시_재차인원!$D$4:$H$4,0))</f>
        <v>2.1028584377691599E-3</v>
      </c>
      <c r="DR154" s="270">
        <f t="shared" si="86"/>
        <v>106.2571042448038</v>
      </c>
      <c r="DS154" s="270">
        <f t="shared" si="77"/>
        <v>1.0701275872675297E-3</v>
      </c>
      <c r="DT154" s="270">
        <f t="shared" si="78"/>
        <v>0.29749546926037329</v>
      </c>
      <c r="DU154" s="270">
        <f t="shared" si="79"/>
        <v>6.8232288926070046</v>
      </c>
      <c r="DW154" s="278"/>
      <c r="DX154" s="278" t="s">
        <v>303</v>
      </c>
      <c r="DY154" s="281">
        <f t="shared" si="87"/>
        <v>113.0803331374108</v>
      </c>
      <c r="DZ154" s="281">
        <f t="shared" si="88"/>
        <v>0.29856559684764084</v>
      </c>
      <c r="EB154" s="278"/>
      <c r="EC154" s="278" t="s">
        <v>303</v>
      </c>
      <c r="ED154" s="281">
        <f t="shared" si="89"/>
        <v>113.0803331374108</v>
      </c>
      <c r="EE154" s="281">
        <f t="shared" si="80"/>
        <v>0.29856559684764084</v>
      </c>
      <c r="EL154" s="306" t="s">
        <v>667</v>
      </c>
      <c r="EM154" s="306" t="s">
        <v>76</v>
      </c>
      <c r="EN154" s="306">
        <v>25868.347099999999</v>
      </c>
      <c r="EO154" s="306">
        <v>0.13929345213562067</v>
      </c>
      <c r="EP154" s="307">
        <v>849109</v>
      </c>
      <c r="EQ154" s="308">
        <f t="shared" si="90"/>
        <v>602.41777526363921</v>
      </c>
      <c r="ER154" s="308">
        <f t="shared" si="91"/>
        <v>1.5905614852111913</v>
      </c>
      <c r="ET154" s="420" t="s">
        <v>667</v>
      </c>
      <c r="EU154" s="420" t="s">
        <v>76</v>
      </c>
      <c r="EV154" s="420">
        <v>25868.347099999999</v>
      </c>
      <c r="EW154" s="420">
        <v>0.13929345213562067</v>
      </c>
      <c r="EX154" s="421">
        <v>849109</v>
      </c>
      <c r="EY154" s="422">
        <f t="shared" si="92"/>
        <v>585.24886866862551</v>
      </c>
      <c r="EZ154" s="422">
        <f t="shared" si="81"/>
        <v>1.5452304828826724</v>
      </c>
      <c r="FA154">
        <v>0</v>
      </c>
      <c r="FD154" s="306" t="s">
        <v>667</v>
      </c>
      <c r="FE154" s="306" t="s">
        <v>76</v>
      </c>
      <c r="FF154" s="306">
        <v>25868.347099999999</v>
      </c>
      <c r="FG154" s="306">
        <v>0.13929345213562067</v>
      </c>
      <c r="FH154" s="307">
        <v>849109</v>
      </c>
      <c r="FI154" s="308">
        <f t="shared" si="82"/>
        <v>585.24886866862551</v>
      </c>
      <c r="FJ154" s="308">
        <f t="shared" si="83"/>
        <v>1.5452304828826724</v>
      </c>
      <c r="FL154" s="101"/>
      <c r="FM154" s="101"/>
      <c r="FN154" s="101"/>
      <c r="FO154" s="101"/>
      <c r="FP154" s="374"/>
      <c r="FQ154" s="404"/>
      <c r="FR154" s="404"/>
    </row>
    <row r="155" spans="1:174">
      <c r="A155" s="205"/>
      <c r="B155" s="205" t="s">
        <v>304</v>
      </c>
      <c r="C155" s="400">
        <f>$AB70*KTDB_TripDistribution_2040!T$12 * (1+KTDB_발생량도착량_증가율!$C$7*2) * (1+KTDB_발생량도착량_증가율!$D$8*5)* (1+KTDB_발생량도착량_증가율!$E$8*5)* (1+KTDB_발생량도착량_증가율!$F$8*5)</f>
        <v>3.2838573266825826</v>
      </c>
      <c r="D155" s="400">
        <f>$AB70*KTDB_TripDistribution_2040!U$12 * (1+KTDB_발생량도착량_증가율!$C$7*2) * (1+KTDB_발생량도착량_증가율!$D$8*5)* (1+KTDB_발생량도착량_증가율!$E$8*5)* (1+KTDB_발생량도착량_증가율!$F$8*5)</f>
        <v>23.765947290323538</v>
      </c>
      <c r="E155" s="400">
        <f>$AB70*KTDB_TripDistribution_2040!V$12 * (1+KTDB_발생량도착량_증가율!$C$7*2) * (1+KTDB_발생량도착량_증가율!$D$8*5)* (1+KTDB_발생량도착량_증가율!$E$8*5)* (1+KTDB_발생량도착량_증가율!$F$8*5)</f>
        <v>1.363393570386487</v>
      </c>
      <c r="F155" s="400">
        <f>$AB70*KTDB_TripDistribution_2040!W$12 * (1+KTDB_발생량도착량_증가율!$C$7*2) * (1+KTDB_발생량도착량_증가율!$D$8*5)* (1+KTDB_발생량도착량_증가율!$E$8*5)* (1+KTDB_발생량도착량_증가율!$F$8*5)</f>
        <v>2.1425776381139208E-3</v>
      </c>
      <c r="G155" s="400">
        <f>$AB70*KTDB_TripDistribution_2040!X$12 * (1+KTDB_발생량도착량_증가율!$C$7*2) * (1+KTDB_발생량도착량_증가율!$D$8*5)* (1+KTDB_발생량도착량_증가율!$E$8*5)* (1+KTDB_발생량도착량_증가율!$F$8*5)</f>
        <v>8.0941821884303409E-3</v>
      </c>
      <c r="H155" s="400">
        <f>$AB70*KTDB_TripDistribution_2040!Y$12 * (1+KTDB_발생량도착량_증가율!$C$7*2) * (1+KTDB_발생량도착량_증가율!$D$8*5)* (1+KTDB_발생량도착량_증가율!$E$8*5)* (1+KTDB_발생량도착량_증가율!$F$8*5)</f>
        <v>28.423434947219157</v>
      </c>
      <c r="I155" s="56"/>
      <c r="J155" s="56"/>
      <c r="K155" s="206"/>
      <c r="L155" s="206" t="s">
        <v>304</v>
      </c>
      <c r="M155" s="206">
        <f>INDEX($A$145:$H$158,MATCH($L155,$B$145:$B$158,0),MATCH($M$144,$A$145:$H$145,0))*고양시_Modal_split!C$3 * 0.01</f>
        <v>9.1948005147112297E-3</v>
      </c>
      <c r="N155" s="206">
        <f>INDEX($A$145:$H$158,MATCH($L155,$B$145:$B$158,0),MATCH($M$144,$A$145:$H$145,0))*고양시_Modal_split!D$3 * 0.01</f>
        <v>1.5443981007388186</v>
      </c>
      <c r="O155" s="206">
        <f>INDEX($A$145:$H$158,MATCH($L155,$B$145:$B$158,0),MATCH($M$144,$A$145:$H$145,0))*고양시_Modal_split!E$3 * 0.01</f>
        <v>0.18685148188823891</v>
      </c>
      <c r="P155" s="206">
        <f>INDEX($A$145:$H$158,MATCH($L155,$B$145:$B$158,0),MATCH($M$144,$A$145:$H$145,0))*고양시_Modal_split!F$3 * 0.01</f>
        <v>0.3011297168567928</v>
      </c>
      <c r="Q155" s="206">
        <f>INDEX($A$145:$H$158,MATCH($L155,$B$145:$B$158,0),MATCH($M$144,$A$145:$H$145,0))*고양시_Modal_split!G$3 * 0.01</f>
        <v>3.0211487405479756E-2</v>
      </c>
      <c r="R155" s="206">
        <f>INDEX($A$145:$H$158,MATCH($L155,$B$145:$B$158,0),MATCH($M$144,$A$145:$H$145,0))*고양시_Modal_split!H$3 * 0.01</f>
        <v>3.2838573266825831E-4</v>
      </c>
      <c r="S155" s="206">
        <f>INDEX($A$145:$H$158,MATCH($L155,$B$145:$B$158,0),MATCH($M$144,$A$145:$H$145,0))*고양시_Modal_split!I$3 * 0.01</f>
        <v>9.1291233681775788E-2</v>
      </c>
      <c r="T155" s="206">
        <f>INDEX($A$145:$H$158,MATCH($L155,$B$145:$B$158,0),MATCH($M$144,$A$145:$H$145,0))*고양시_Modal_split!J$3 * 0.01</f>
        <v>0.99960617024217813</v>
      </c>
      <c r="U155" s="206">
        <f>INDEX($A$145:$H$158,MATCH($L155,$B$145:$B$158,0),MATCH($M$144,$A$145:$H$145,0))*고양시_Modal_split!K$3 * 0.01</f>
        <v>4.9257859900238739E-3</v>
      </c>
      <c r="V155" s="206">
        <f>INDEX($A$145:$H$158,MATCH($L155,$B$145:$B$158,0),MATCH($M$144,$A$145:$H$145,0))*고양시_Modal_split!L$3 * 0.01</f>
        <v>9.9172491265813997E-2</v>
      </c>
      <c r="W155" s="206">
        <f>INDEX($A$145:$H$158,MATCH($L155,$B$145:$B$158,0),MATCH($M$144,$A$145:$H$145,0))*고양시_Modal_split!M$3 * 0.01</f>
        <v>7.552871851369939E-3</v>
      </c>
      <c r="X155" s="206">
        <f>INDEX($A$145:$H$158,MATCH($L155,$B$145:$B$158,0),MATCH($M$144,$A$145:$H$145,0))*고양시_Modal_split!N$3 * 0.01</f>
        <v>3.2838573266825827E-3</v>
      </c>
      <c r="Y155" s="206">
        <f>INDEX($A$145:$H$158,MATCH($L155,$B$145:$B$158,0),MATCH($M$144,$A$145:$H$145,0))*고양시_Modal_split!O$3 * 0.01</f>
        <v>5.9109431880286492E-3</v>
      </c>
      <c r="Z155" s="209">
        <f>INDEX($A$145:$H$158,MATCH($L155,$B$145:$B$158,0),MATCH($M$144,$A$145:$H$145,0))*고양시_Modal_split!P$3 * 0.01</f>
        <v>3.2838573266825826</v>
      </c>
      <c r="AA155" s="207">
        <f>INDEX($A$145:$H$158,MATCH($L155,$B$145:$B$158,0),MATCH($AA$144,$A$145:$H$145,0))*고양시_Modal_split!C$3 * 0.01</f>
        <v>6.65446524129059E-2</v>
      </c>
      <c r="AB155" s="207">
        <f>INDEX($A$145:$H$158,MATCH($L155,$B$145:$B$158,0),MATCH($AA$144,$A$145:$H$145,0))*고양시_Modal_split!D$3 * 0.01</f>
        <v>11.177125010639161</v>
      </c>
      <c r="AC155" s="207">
        <f>INDEX($A$145:$H$158,MATCH($L155,$B$145:$B$158,0),MATCH($AA$144,$A$145:$H$145,0))*고양시_Modal_split!E$3 * 0.01</f>
        <v>1.3522824008194092</v>
      </c>
      <c r="AD155" s="207">
        <f>INDEX($A$145:$H$158,MATCH($L155,$B$145:$B$158,0),MATCH($AA$144,$A$145:$H$145,0))*고양시_Modal_split!F$3 * 0.01</f>
        <v>2.1793373665226685</v>
      </c>
      <c r="AE155" s="207">
        <f>INDEX($A$145:$H$158,MATCH($L155,$B$145:$B$158,0),MATCH($AA$144,$A$145:$H$145,0))*고양시_Modal_split!G$3 * 0.01</f>
        <v>0.21864671507097655</v>
      </c>
      <c r="AF155" s="207">
        <f>INDEX($A$145:$H$158,MATCH($L155,$B$145:$B$158,0),MATCH($AA$144,$A$145:$H$145,0))*고양시_Modal_split!H$3 * 0.01</f>
        <v>2.3765947290323541E-3</v>
      </c>
      <c r="AG155" s="207">
        <f>INDEX($A$145:$H$158,MATCH($L155,$B$145:$B$158,0),MATCH($AA$144,$A$145:$H$145,0))*고양시_Modal_split!I$3 * 0.01</f>
        <v>0.66069333467099423</v>
      </c>
      <c r="AH155" s="207">
        <f>INDEX($A$145:$H$158,MATCH($L155,$B$145:$B$158,0),MATCH($AA$144,$A$145:$H$145,0))*고양시_Modal_split!J$3 * 0.01</f>
        <v>7.234354355174486</v>
      </c>
      <c r="AI155" s="207">
        <f>INDEX($A$145:$H$158,MATCH($L155,$B$145:$B$158,0),MATCH($AA$144,$A$145:$H$145,0))*고양시_Modal_split!K$3 * 0.01</f>
        <v>3.5648920935485308E-2</v>
      </c>
      <c r="AJ155" s="207">
        <f>INDEX($A$145:$H$158,MATCH($L155,$B$145:$B$158,0),MATCH($AA$144,$A$145:$H$145,0))*고양시_Modal_split!L$3 * 0.01</f>
        <v>0.71773160816777093</v>
      </c>
      <c r="AK155" s="207">
        <f>INDEX($A$145:$H$158,MATCH($L155,$B$145:$B$158,0),MATCH($AA$144,$A$145:$H$145,0))*고양시_Modal_split!M$3 * 0.01</f>
        <v>5.4661678767744137E-2</v>
      </c>
      <c r="AL155" s="207">
        <f>INDEX($A$145:$H$158,MATCH($L155,$B$145:$B$158,0),MATCH($AA$144,$A$145:$H$145,0))*고양시_Modal_split!N$3 * 0.01</f>
        <v>2.3765947290323539E-2</v>
      </c>
      <c r="AM155" s="207">
        <f>INDEX($A$145:$H$158,MATCH($L155,$B$145:$B$158,0),MATCH($AA$144,$A$145:$H$145,0))*고양시_Modal_split!O$3 * 0.01</f>
        <v>4.2778705122582368E-2</v>
      </c>
      <c r="AN155" s="207">
        <f>INDEX($A$145:$H$158,MATCH($L155,$B$145:$B$158,0),MATCH($AA$144,$A$145:$H$145,0))*고양시_Modal_split!P$3 * 0.01</f>
        <v>23.765947290323538</v>
      </c>
      <c r="AO155" s="303">
        <f>INDEX($A$145:$H$158,MATCH($L155,$B$145:$B$158,0),MATCH($AO$144,$A$145:$H$145,0))*고양시_Modal_split!C$3 * 0.01</f>
        <v>3.8175019970821634E-3</v>
      </c>
      <c r="AP155" s="303">
        <f>INDEX($A$145:$H$158,MATCH($L155,$B$145:$B$158,0),MATCH($AO$144,$A$145:$H$145,0))*고양시_Modal_split!D$3 * 0.01</f>
        <v>0.6412039961527648</v>
      </c>
      <c r="AQ155" s="303">
        <f>INDEX($A$145:$H$158,MATCH($L155,$B$145:$B$158,0),MATCH($AO$144,$A$145:$H$145,0))*고양시_Modal_split!E$3 * 0.01</f>
        <v>7.7577094154991103E-2</v>
      </c>
      <c r="AR155" s="303">
        <f>INDEX($A$145:$H$158,MATCH($L155,$B$145:$B$158,0),MATCH($AO$144,$A$145:$H$145,0))*고양시_Modal_split!F$3 * 0.01</f>
        <v>0.12502319040444085</v>
      </c>
      <c r="AS155" s="303">
        <f>INDEX($A$145:$H$158,MATCH($L155,$B$145:$B$158,0),MATCH($AO$144,$A$145:$H$145,0))*고양시_Modal_split!G$3 * 0.01</f>
        <v>1.2543220847555681E-2</v>
      </c>
      <c r="AT155" s="303">
        <f>INDEX($A$145:$H$158,MATCH($L155,$B$145:$B$158,0),MATCH($AO$144,$A$145:$H$145,0))*고양시_Modal_split!H$3 * 0.01</f>
        <v>1.363393570386487E-4</v>
      </c>
      <c r="AU155" s="303">
        <f>INDEX($A$145:$H$158,MATCH($L155,$B$145:$B$158,0),MATCH($AO$144,$A$145:$H$145,0))*고양시_Modal_split!I$3 * 0.01</f>
        <v>3.7902341256744333E-2</v>
      </c>
      <c r="AV155" s="303">
        <f>INDEX($A$145:$H$158,MATCH($L155,$B$145:$B$158,0),MATCH($AO$144,$A$145:$H$145,0))*고양시_Modal_split!J$3 * 0.01</f>
        <v>0.41501700282564663</v>
      </c>
      <c r="AW155" s="303">
        <f>INDEX($A$145:$H$158,MATCH($L155,$B$145:$B$158,0),MATCH($AO$144,$A$145:$H$145,0))*고양시_Modal_split!K$3 * 0.01</f>
        <v>2.0450903555797304E-3</v>
      </c>
      <c r="AX155" s="303">
        <f>INDEX($A$145:$H$158,MATCH($L155,$B$145:$B$158,0),MATCH($AO$144,$A$145:$H$145,0))*고양시_Modal_split!L$3 * 0.01</f>
        <v>4.1174485825671903E-2</v>
      </c>
      <c r="AY155" s="303">
        <f>INDEX($A$145:$H$158,MATCH($L155,$B$145:$B$158,0),MATCH($AO$144,$A$145:$H$145,0))*고양시_Modal_split!M$3 * 0.01</f>
        <v>3.1358052118889202E-3</v>
      </c>
      <c r="AZ155" s="303">
        <f>INDEX($A$145:$H$158,MATCH($L155,$B$145:$B$158,0),MATCH($AO$144,$A$145:$H$145,0))*고양시_Modal_split!N$3 * 0.01</f>
        <v>1.3633935703864872E-3</v>
      </c>
      <c r="BA155" s="207">
        <f>INDEX($A$145:$H$158,MATCH($L155,$B$145:$B$158,0),MATCH($AO$144,$A$145:$H$145,0))*고양시_Modal_split!O$3 * 0.01</f>
        <v>2.4541084266956766E-3</v>
      </c>
      <c r="BB155" s="207">
        <f>INDEX($A$145:$H$158,MATCH($L155,$B$145:$B$158,0),MATCH($AO$144,$A$145:$H$145,0))*고양시_Modal_split!P$3 * 0.01</f>
        <v>1.363393570386487</v>
      </c>
      <c r="BC155" s="207">
        <f>INDEX($A$145:$H$158,MATCH($L155,$B$145:$B$158,0),MATCH($BC$144,$A$145:$H$145,0))*고양시_Modal_split!C$3 * 0.01</f>
        <v>5.9992173867189779E-6</v>
      </c>
      <c r="BD155" s="207">
        <f>INDEX($A$145:$H$158,MATCH($L155,$B$145:$B$158,0),MATCH($BC$144,$A$145:$H$145,0))*고양시_Modal_split!D$3 * 0.01</f>
        <v>1.0076542632049769E-3</v>
      </c>
      <c r="BE155" s="207">
        <f>INDEX($A$145:$H$158,MATCH($L155,$B$145:$B$158,0),MATCH($BC$144,$A$145:$H$145,0))*고양시_Modal_split!E$3 * 0.01</f>
        <v>1.2191266760868208E-4</v>
      </c>
      <c r="BF155" s="207">
        <f>INDEX($A$145:$H$158,MATCH($L155,$B$145:$B$158,0),MATCH($BC$144,$A$145:$H$145,0))*고양시_Modal_split!F$3 * 0.01</f>
        <v>1.9647436941504654E-4</v>
      </c>
      <c r="BG155" s="207">
        <f>INDEX($A$145:$H$158,MATCH($L155,$B$145:$B$158,0),MATCH($BC$144,$A$145:$H$145,0))*고양시_Modal_split!G$3 * 0.01</f>
        <v>1.9711714270648072E-5</v>
      </c>
      <c r="BH155" s="207">
        <f>INDEX($A$145:$H$158,MATCH($L155,$B$145:$B$158,0),MATCH($BC$144,$A$145:$H$145,0))*고양시_Modal_split!H$3 * 0.01</f>
        <v>2.1425776381139208E-7</v>
      </c>
      <c r="BI155" s="207">
        <f>INDEX($A$145:$H$158,MATCH($L155,$B$145:$B$158,0),MATCH($BC$144,$A$145:$H$145,0))*고양시_Modal_split!I$3 * 0.01</f>
        <v>5.9563658339566996E-5</v>
      </c>
      <c r="BJ155" s="207">
        <f>INDEX($A$145:$H$158,MATCH($L155,$B$145:$B$158,0),MATCH($BC$144,$A$145:$H$145,0))*고양시_Modal_split!J$3 * 0.01</f>
        <v>6.5220063304187751E-4</v>
      </c>
      <c r="BK155" s="207">
        <f>INDEX($A$145:$H$158,MATCH($L155,$B$145:$B$158,0),MATCH($BC$144,$A$145:$H$145,0))*고양시_Modal_split!K$3 * 0.01</f>
        <v>3.2138664571708809E-6</v>
      </c>
      <c r="BL155" s="207">
        <f>INDEX($A$145:$H$158,MATCH($L155,$B$145:$B$158,0),MATCH($BC$144,$A$145:$H$145,0))*고양시_Modal_split!L$3 * 0.01</f>
        <v>6.4705844671040412E-5</v>
      </c>
      <c r="BM155" s="207">
        <f>INDEX($A$145:$H$158,MATCH($L155,$B$145:$B$158,0),MATCH($BC$144,$A$145:$H$145,0))*고양시_Modal_split!M$3 * 0.01</f>
        <v>4.9279285676620179E-6</v>
      </c>
      <c r="BN155" s="207">
        <f>INDEX($A$145:$H$158,MATCH($L155,$B$145:$B$158,0),MATCH($BC$144,$A$145:$H$145,0))*고양시_Modal_split!N$3 * 0.01</f>
        <v>2.1425776381139209E-6</v>
      </c>
      <c r="BO155" s="207">
        <f>INDEX($A$145:$H$158,MATCH($L155,$B$145:$B$158,0),MATCH($BC$144,$A$145:$H$145,0))*고양시_Modal_split!O$3 * 0.01</f>
        <v>3.8566397486050571E-6</v>
      </c>
      <c r="BP155" s="207">
        <f>INDEX($A$145:$H$158,MATCH($L155,$B$145:$B$158,0),MATCH($BC$144,$A$145:$H$145,0))*고양시_Modal_split!P$3 * 0.01</f>
        <v>2.1425776381139208E-3</v>
      </c>
      <c r="BQ155" s="207">
        <f>INDEX($A$145:$H$158,MATCH($L155,$B$145:$B$158,0),MATCH($BQ$144,$A$145:$H$145,0))*고양시_Modal_split!C$3 * 0.01</f>
        <v>2.266371012760495E-5</v>
      </c>
      <c r="BR155" s="207">
        <f>INDEX($A$145:$H$158,MATCH($L155,$B$145:$B$158,0),MATCH($BQ$144,$A$145:$H$145,0))*고양시_Modal_split!D$3 * 0.01</f>
        <v>3.8066938832187897E-3</v>
      </c>
      <c r="BS155" s="207">
        <f>INDEX($A$145:$H$158,MATCH($L155,$B$145:$B$158,0),MATCH($BQ$144,$A$145:$H$145,0))*고양시_Modal_split!E$3 * 0.01</f>
        <v>4.6055896652168638E-4</v>
      </c>
      <c r="BT155" s="207">
        <f>INDEX($A$145:$H$158,MATCH($L155,$B$145:$B$158,0),MATCH($BQ$144,$A$145:$H$145,0))*고양시_Modal_split!F$3 * 0.01</f>
        <v>7.4223650667906216E-4</v>
      </c>
      <c r="BU155" s="207">
        <f>INDEX($A$145:$H$158,MATCH($L155,$B$145:$B$158,0),MATCH($BQ$144,$A$145:$H$145,0))*고양시_Modal_split!G$3 * 0.01</f>
        <v>7.4466476133559136E-5</v>
      </c>
      <c r="BV155" s="207">
        <f>INDEX($A$145:$H$158,MATCH($L155,$B$145:$B$158,0),MATCH($BQ$144,$A$145:$H$145,0))*고양시_Modal_split!H$3 * 0.01</f>
        <v>8.0941821884303416E-7</v>
      </c>
      <c r="BW155" s="207">
        <f>INDEX($A$145:$H$158,MATCH($L155,$B$145:$B$158,0),MATCH($BQ$144,$A$145:$H$145,0))*고양시_Modal_split!I$3 * 0.01</f>
        <v>2.2501826483836346E-4</v>
      </c>
      <c r="BX155" s="207">
        <f>INDEX($A$145:$H$158,MATCH($L155,$B$145:$B$158,0),MATCH($BQ$144,$A$145:$H$145,0))*고양시_Modal_split!J$3 * 0.01</f>
        <v>2.4638690581581962E-3</v>
      </c>
      <c r="BY155" s="207">
        <f>INDEX($A$145:$H$158,MATCH($L155,$B$145:$B$158,0),MATCH($BQ$144,$A$145:$H$145,0))*고양시_Modal_split!K$3 * 0.01</f>
        <v>1.2141273282645512E-5</v>
      </c>
      <c r="BZ155" s="207">
        <f>INDEX($A$145:$H$158,MATCH($L155,$B$145:$B$158,0),MATCH($BQ$144,$A$145:$H$145,0))*고양시_Modal_split!L$3 * 0.01</f>
        <v>2.4444430209059632E-4</v>
      </c>
      <c r="CA155" s="207">
        <f>INDEX($A$145:$H$158,MATCH($L155,$B$145:$B$158,0),MATCH($BQ$144,$A$145:$H$145,0))*고양시_Modal_split!M$3 * 0.01</f>
        <v>1.8616619033389784E-5</v>
      </c>
      <c r="CB155" s="207">
        <f>INDEX($A$145:$H$158,MATCH($L155,$B$145:$B$158,0),MATCH($BQ$144,$A$145:$H$145,0))*고양시_Modal_split!N$3 * 0.01</f>
        <v>8.0941821884303416E-6</v>
      </c>
      <c r="CC155" s="207">
        <f>INDEX($A$145:$H$158,MATCH($L155,$B$145:$B$158,0),MATCH($BQ$144,$A$145:$H$145,0))*고양시_Modal_split!O$3 * 0.01</f>
        <v>1.4569527939174613E-5</v>
      </c>
      <c r="CD155" s="207">
        <f>INDEX($A$145:$H$158,MATCH($L155,$B$145:$B$158,0),MATCH($BQ$144,$A$145:$H$145,0))*고양시_Modal_split!P$3 * 0.01</f>
        <v>8.0941821884303409E-3</v>
      </c>
      <c r="CE155" s="304">
        <f t="shared" si="84"/>
        <v>7.9585617852213617E-2</v>
      </c>
      <c r="CF155" s="304">
        <f t="shared" si="64"/>
        <v>13.367541455677168</v>
      </c>
      <c r="CG155" s="304">
        <f t="shared" si="65"/>
        <v>1.6172934484967696</v>
      </c>
      <c r="CH155" s="304">
        <f t="shared" si="66"/>
        <v>2.6064289846599964</v>
      </c>
      <c r="CI155" s="304">
        <f t="shared" si="67"/>
        <v>0.26149560151441614</v>
      </c>
      <c r="CJ155" s="304">
        <f t="shared" si="68"/>
        <v>2.8423434947219151E-3</v>
      </c>
      <c r="CK155" s="304">
        <f t="shared" si="69"/>
        <v>0.79017149153269228</v>
      </c>
      <c r="CL155" s="304">
        <f t="shared" si="70"/>
        <v>8.6520935979335096</v>
      </c>
      <c r="CM155" s="304">
        <f t="shared" si="71"/>
        <v>4.2635152420828736E-2</v>
      </c>
      <c r="CN155" s="304">
        <f t="shared" si="72"/>
        <v>0.85838773540601832</v>
      </c>
      <c r="CO155" s="304">
        <f t="shared" si="73"/>
        <v>6.5373900378604036E-2</v>
      </c>
      <c r="CP155" s="304">
        <f t="shared" si="74"/>
        <v>2.8423434947219155E-2</v>
      </c>
      <c r="CQ155" s="304">
        <f t="shared" si="75"/>
        <v>5.1162182904994476E-2</v>
      </c>
      <c r="CR155" s="304">
        <f t="shared" si="76"/>
        <v>28.423434947219153</v>
      </c>
      <c r="CS155" s="305">
        <f t="shared" si="85"/>
        <v>0</v>
      </c>
      <c r="CV155" s="267"/>
      <c r="CW155" s="267" t="s">
        <v>304</v>
      </c>
      <c r="CX155" s="267">
        <f>INDEX($M$144:$Z$158,MATCH($CW155,$L$144:$L$158,0),MATCH(CX$145,$M$145:$Z$145,0))/INDEX(고양시_재차인원!$D$4:$H$35,MATCH("고양시",고양시_재차인원!$B$4:$B$35,0),MATCH($CX$144,고양시_재차인원!$D$4:$H$4,0))</f>
        <v>1.3789268756596593</v>
      </c>
      <c r="CY155" s="267">
        <f>INDEX($M$144:$Z$158,MATCH($CW155,$L$144:$L$158,0),MATCH(CY$145,$M$145:$Z$145,0))/INDEX(고양시_재차인원!$K$4:$O$20,MATCH("경기도",고양시_재차인원!$K$4:$K$20,0),MATCH(CY$145,고양시_재차인원!$K$4:$O$4,0))</f>
        <v>1.1406242885316371E-5</v>
      </c>
      <c r="CZ155" s="267">
        <f>INDEX($M$144:$Z$158,MATCH($CW155,$L$144:$L$158,0),MATCH(CZ$145,$M$145:$Z$145,0))/INDEX(고양시_재차인원!$K$4:$O$20,MATCH("경기도",고양시_재차인원!$K$4:$K$20,0),MATCH(CZ$145,고양시_재차인원!$K$4:$O$4,0))</f>
        <v>3.1709355221179502E-3</v>
      </c>
      <c r="DA155" s="267">
        <f>INDEX($M$144:$Z$158,MATCH($CW155,$L$144:$L$158,0),MATCH(DA$145,$M$145:$Z$145,0))/INDEX(고양시_재차인원!$D$4:$H$35,MATCH("고양시",고양시_재차인원!$B$4:$B$35,0),MATCH($CX$144,고양시_재차인원!$D$4:$H$4,0))</f>
        <v>8.8546867201619639E-2</v>
      </c>
      <c r="DB155" s="267">
        <f>INDEX($AA$144:$AN$158,MATCH($CW155,$L$144:$L$158,0),MATCH(DB$145,$AA$145:$AN$145,0))/INDEX(고양시_재차인원!$D$4:$H$35,MATCH("고양시",고양시_재차인원!$B$4:$B$35,0),MATCH($DB$144,고양시_재차인원!$D$4:$H$4,0))</f>
        <v>7.9270390146377032</v>
      </c>
      <c r="DC155" s="267">
        <f>INDEX($AA$144:$AN$158,MATCH($CW155,$L$144:$L$158,0),MATCH(DC$145,$AA$145:$AN$145,0))/INDEX(고양시_재차인원!$K$4:$O$20,MATCH("경기도",고양시_재차인원!$K$4:$K$20,0),MATCH(DC$145,고양시_재차인원!$K$4:$O$4,0))</f>
        <v>8.2549313269619811E-5</v>
      </c>
      <c r="DD155" s="267">
        <f>INDEX($AA$144:$AN$158,MATCH($CW155,$L$144:$L$158,0),MATCH(DD$145,$AA$145:$AN$145,0))/INDEX(고양시_재차인원!$K$4:$O$20,MATCH("경기도",고양시_재차인원!$K$4:$K$20,0),MATCH(DD$145,고양시_재차인원!$K$4:$O$4,0))</f>
        <v>2.2948709088954296E-2</v>
      </c>
      <c r="DE155" s="267">
        <f>INDEX($AA$144:$AN$158,MATCH($CW155,$L$144:$L$158,0),MATCH(DE$145,$AA$145:$AN$145,0))/INDEX(고양시_재차인원!$D$4:$H$35,MATCH("고양시",고양시_재차인원!$B$4:$B$35,0),MATCH($DB$144,고양시_재차인원!$D$4:$H$4,0))</f>
        <v>0.50902950933884461</v>
      </c>
      <c r="DF155" s="267">
        <f>INDEX($AO$144:$BB$158,MATCH($CW155,$L$144:$L$158,0),MATCH(DF$145,$AO$145:$BB$145,0))/INDEX(고양시_재차인원!$D$4:$H$35,MATCH("고양시",고양시_재차인원!$B$4:$B$35,0),MATCH($DF$144,고양시_재차인원!$D$4:$H$4,0))</f>
        <v>0.49323384319443442</v>
      </c>
      <c r="DG155" s="267">
        <f>INDEX($AO$144:$BB$158,MATCH($CW155,$L$144:$L$158,0),MATCH(DG$145,$AO$145:$BB$145,0))/INDEX(고양시_재차인원!$K$4:$O$20,MATCH("경기도",고양시_재차인원!$K$4:$K$20,0),MATCH(DG$145,고양시_재차인원!$K$4:$O$4,0))</f>
        <v>4.7356497755695973E-6</v>
      </c>
      <c r="DH155" s="267">
        <f>INDEX($AO$144:$BB$158,MATCH($CW155,$L$144:$L$158,0),MATCH(DH$145,$AO$145:$BB$145,0))/INDEX(고양시_재차인원!$K$4:$O$20,MATCH("경기도",고양시_재차인원!$K$4:$K$20,0),MATCH(DH$145,고양시_재차인원!$K$4:$O$4,0))</f>
        <v>1.3165106376083477E-3</v>
      </c>
      <c r="DI155" s="267">
        <f>INDEX($AO$144:$BB$158,MATCH($CW155,$L$144:$L$158,0),MATCH(DI$145,$AO$145:$BB$145,0))/INDEX(고양시_재차인원!$D$4:$H$35,MATCH("고양시",고양시_재차인원!$B$4:$B$35,0),MATCH($DF$144,고양시_재차인원!$D$4:$H$4,0))</f>
        <v>3.1672681404363003E-2</v>
      </c>
      <c r="DJ155" s="267">
        <f>INDEX($BC$144:$BP$158,MATCH($CW155,$L$144:$L$158,0),MATCH(DJ$145,$BC$145:$BP$145,0))/INDEX(고양시_재차인원!$D$4:$H$35,MATCH("고양시",고양시_재차인원!$B$4:$B$35,0),MATCH($DJ$144,고양시_재차인원!$D$4:$H$4,0))</f>
        <v>7.4092225235660055E-4</v>
      </c>
      <c r="DK155" s="267">
        <f>INDEX($BC$144:$BP$158,MATCH($CW155,$L$144:$L$158,0),MATCH(DK$145,$BC$145:$BP$145,0))/INDEX(고양시_재차인원!$K$4:$O$20,MATCH("경기도",고양시_재차인원!$K$4:$K$20,0),MATCH(DK$145,고양시_재차인원!$K$4:$O$4,0))</f>
        <v>7.4420897468354322E-9</v>
      </c>
      <c r="DL155" s="267">
        <f>INDEX($BC$144:$BP$158,MATCH($CW155,$L$144:$L$158,0),MATCH(DL$145,$BC$145:$BP$145,0))/INDEX(고양시_재차인원!$K$4:$O$20,MATCH("경기도",고양시_재차인원!$K$4:$K$20,0),MATCH(DL$145,고양시_재차인원!$K$4:$O$4,0))</f>
        <v>2.0689009496202502E-6</v>
      </c>
      <c r="DM155" s="267">
        <f>INDEX($BC$144:$BP$158,MATCH($CW155,$L$144:$L$158,0),MATCH(DM$145,$BC$145:$BP$145,0))/INDEX(고양시_재차인원!$D$4:$H$35,MATCH("고양시",고양시_재차인원!$B$4:$B$35,0),MATCH($DJ$144,고양시_재차인원!$D$4:$H$4,0))</f>
        <v>4.7577826964000298E-5</v>
      </c>
      <c r="DN155" s="267">
        <f>INDEX($BQ$144:$CD$158,MATCH($CW155,$L$144:$L$158,0),MATCH(DN$145,$BQ$145:$CD$145,0))/INDEX(고양시_재차인원!$D$4:$H$35,MATCH("고양시",고양시_재차인원!$B$4:$B$35,0),MATCH($DN$144,고양시_재차인원!$D$4:$H$4,0))</f>
        <v>3.0211856216022142E-3</v>
      </c>
      <c r="DO155" s="267">
        <f>INDEX($BQ$144:$CD$158,MATCH($CW155,$L$144:$L$158,0),MATCH(DO$145,$BQ$145:$CD$145,0))/INDEX(고양시_재차인원!$K$4:$O$20,MATCH("경기도",고양시_재차인원!$K$4:$K$20,0),MATCH(DO$145,고양시_재차인원!$K$4:$O$4,0))</f>
        <v>2.8114561265822652E-8</v>
      </c>
      <c r="DP155" s="267">
        <f>INDEX($BQ$144:$CD$158,MATCH($CW155,$L$144:$L$158,0),MATCH(DP$145,$BQ$145:$CD$145,0))/INDEX(고양시_재차인원!$K$4:$O$20,MATCH("경기도",고양시_재차인원!$K$4:$K$20,0),MATCH(DP$145,고양시_재차인원!$K$4:$O$4,0))</f>
        <v>7.8158480318986969E-6</v>
      </c>
      <c r="DQ155" s="267">
        <f>INDEX($BQ$144:$CD$158,MATCH($CW155,$L$144:$L$158,0),MATCH(DQ$145,$BQ$145:$CD$145,0))/INDEX(고양시_재차인원!$D$4:$H$35,MATCH("고양시",고양시_재차인원!$B$4:$B$35,0),MATCH($DN$144,고양시_재차인원!$D$4:$H$4,0))</f>
        <v>1.9400341435761614E-4</v>
      </c>
      <c r="DR155" s="270">
        <f t="shared" si="86"/>
        <v>9.8029618413657555</v>
      </c>
      <c r="DS155" s="270">
        <f t="shared" si="77"/>
        <v>9.8726762581518443E-5</v>
      </c>
      <c r="DT155" s="270">
        <f t="shared" si="78"/>
        <v>2.7446039997662115E-2</v>
      </c>
      <c r="DU155" s="270">
        <f t="shared" si="79"/>
        <v>0.62949063918614878</v>
      </c>
      <c r="DW155" s="278"/>
      <c r="DX155" s="278" t="s">
        <v>304</v>
      </c>
      <c r="DY155" s="281">
        <f t="shared" si="87"/>
        <v>10.432452480551904</v>
      </c>
      <c r="DZ155" s="281">
        <f t="shared" si="88"/>
        <v>2.7544766760243634E-2</v>
      </c>
      <c r="EB155" s="278"/>
      <c r="EC155" s="278" t="s">
        <v>304</v>
      </c>
      <c r="ED155" s="281">
        <f t="shared" si="89"/>
        <v>10.432452480551904</v>
      </c>
      <c r="EE155" s="281">
        <f t="shared" si="80"/>
        <v>2.7544766760243634E-2</v>
      </c>
      <c r="EL155" s="306" t="s">
        <v>667</v>
      </c>
      <c r="EM155" s="306" t="s">
        <v>220</v>
      </c>
      <c r="EN155" s="306">
        <v>51875.97</v>
      </c>
      <c r="EO155" s="306">
        <v>0.27933686355182291</v>
      </c>
      <c r="EP155" s="307">
        <v>849110</v>
      </c>
      <c r="EQ155" s="308">
        <f t="shared" si="90"/>
        <v>1208.0789822494414</v>
      </c>
      <c r="ER155" s="308">
        <f t="shared" si="91"/>
        <v>3.189686591532213</v>
      </c>
      <c r="ET155" s="420" t="s">
        <v>667</v>
      </c>
      <c r="EU155" s="420" t="s">
        <v>220</v>
      </c>
      <c r="EV155" s="420">
        <v>51875.97</v>
      </c>
      <c r="EW155" s="420">
        <v>0.27933686355182291</v>
      </c>
      <c r="EX155" s="421">
        <v>849110</v>
      </c>
      <c r="EY155" s="422">
        <f t="shared" si="92"/>
        <v>1173.6487312553325</v>
      </c>
      <c r="EZ155" s="422">
        <f t="shared" si="81"/>
        <v>3.0987805236735451</v>
      </c>
      <c r="FA155">
        <v>0</v>
      </c>
      <c r="FD155" s="306" t="s">
        <v>667</v>
      </c>
      <c r="FE155" s="306" t="s">
        <v>220</v>
      </c>
      <c r="FF155" s="306">
        <v>51875.97</v>
      </c>
      <c r="FG155" s="306">
        <v>0.27933686355182291</v>
      </c>
      <c r="FH155" s="307">
        <v>849110</v>
      </c>
      <c r="FI155" s="308">
        <f t="shared" si="82"/>
        <v>1173.6487312553325</v>
      </c>
      <c r="FJ155" s="308">
        <f t="shared" si="83"/>
        <v>3.0987805236735451</v>
      </c>
      <c r="FL155" s="101"/>
      <c r="FM155" s="101"/>
      <c r="FN155" s="101"/>
      <c r="FO155" s="101"/>
      <c r="FP155" s="374"/>
      <c r="FQ155" s="404"/>
      <c r="FR155" s="404"/>
    </row>
    <row r="156" spans="1:174" ht="25">
      <c r="A156" s="205"/>
      <c r="B156" s="205" t="s">
        <v>305</v>
      </c>
      <c r="C156" s="400">
        <f>$AB71*KTDB_TripDistribution_2040!T$12 * (1+KTDB_발생량도착량_증가율!$C$7*2) * (1+KTDB_발생량도착량_증가율!$D$8*5)* (1+KTDB_발생량도착량_증가율!$E$8*5)* (1+KTDB_발생량도착량_증가율!$F$8*5)</f>
        <v>10.144773527072976</v>
      </c>
      <c r="D156" s="400">
        <f>$AB71*KTDB_TripDistribution_2040!U$12 * (1+KTDB_발생량도착량_증가율!$C$7*2) * (1+KTDB_발생량도착량_증가율!$D$8*5)* (1+KTDB_발생량도착량_증가율!$E$8*5)* (1+KTDB_발생량도착량_증가율!$F$8*5)</f>
        <v>73.419801450463794</v>
      </c>
      <c r="E156" s="400">
        <f>$AB71*KTDB_TripDistribution_2040!V$12 * (1+KTDB_발생량도착량_증가율!$C$7*2) * (1+KTDB_발생량도착량_증가율!$D$8*5)* (1+KTDB_발생량도착량_증가율!$E$8*5)* (1+KTDB_발생량도착량_증가율!$F$8*5)</f>
        <v>4.2119122799439692</v>
      </c>
      <c r="F156" s="400">
        <f>$AB71*KTDB_TripDistribution_2040!W$12 * (1+KTDB_발생량도착량_증가율!$C$7*2) * (1+KTDB_발생량도착량_증가율!$D$8*5)* (1+KTDB_발생량도착량_증가율!$E$8*5)* (1+KTDB_발생량도착량_증가율!$F$8*5)</f>
        <v>6.6190344891733617E-3</v>
      </c>
      <c r="G156" s="400">
        <f>$AB71*KTDB_TripDistribution_2040!X$12 * (1+KTDB_발생량도착량_증가율!$C$7*2) * (1+KTDB_발생량도착량_증가율!$D$8*5)* (1+KTDB_발생량도착량_증가율!$E$8*5)* (1+KTDB_발생량도착량_증가율!$F$8*5)</f>
        <v>2.5005241403543731E-2</v>
      </c>
      <c r="H156" s="400">
        <f>$AB71*KTDB_TripDistribution_2040!Y$12 * (1+KTDB_발생량도착량_증가율!$C$7*2) * (1+KTDB_발생량도착량_증가율!$D$8*5)* (1+KTDB_발생량도착량_증가율!$E$8*5)* (1+KTDB_발생량도착량_증가율!$F$8*5)</f>
        <v>87.808111533373463</v>
      </c>
      <c r="I156" s="56"/>
      <c r="J156" s="56"/>
      <c r="K156" s="206"/>
      <c r="L156" s="206" t="s">
        <v>305</v>
      </c>
      <c r="M156" s="206">
        <f>INDEX($A$145:$H$158,MATCH($L156,$B$145:$B$158,0),MATCH($M$144,$A$145:$H$145,0))*고양시_Modal_split!C$3 * 0.01</f>
        <v>2.840536587580433E-2</v>
      </c>
      <c r="N156" s="206">
        <f>INDEX($A$145:$H$158,MATCH($L156,$B$145:$B$158,0),MATCH($M$144,$A$145:$H$145,0))*고양시_Modal_split!D$3 * 0.01</f>
        <v>4.7710869897824209</v>
      </c>
      <c r="O156" s="206">
        <f>INDEX($A$145:$H$158,MATCH($L156,$B$145:$B$158,0),MATCH($M$144,$A$145:$H$145,0))*고양시_Modal_split!E$3 * 0.01</f>
        <v>0.57723761369045234</v>
      </c>
      <c r="P156" s="206">
        <f>INDEX($A$145:$H$158,MATCH($L156,$B$145:$B$158,0),MATCH($M$144,$A$145:$H$145,0))*고양시_Modal_split!F$3 * 0.01</f>
        <v>0.93027573243259198</v>
      </c>
      <c r="Q156" s="206">
        <f>INDEX($A$145:$H$158,MATCH($L156,$B$145:$B$158,0),MATCH($M$144,$A$145:$H$145,0))*고양시_Modal_split!G$3 * 0.01</f>
        <v>9.3331916449071364E-2</v>
      </c>
      <c r="R156" s="206">
        <f>INDEX($A$145:$H$158,MATCH($L156,$B$145:$B$158,0),MATCH($M$144,$A$145:$H$145,0))*고양시_Modal_split!H$3 * 0.01</f>
        <v>1.0144773527072978E-3</v>
      </c>
      <c r="S156" s="206">
        <f>INDEX($A$145:$H$158,MATCH($L156,$B$145:$B$158,0),MATCH($M$144,$A$145:$H$145,0))*고양시_Modal_split!I$3 * 0.01</f>
        <v>0.28202470405262875</v>
      </c>
      <c r="T156" s="206">
        <f>INDEX($A$145:$H$158,MATCH($L156,$B$145:$B$158,0),MATCH($M$144,$A$145:$H$145,0))*고양시_Modal_split!J$3 * 0.01</f>
        <v>3.088069061641014</v>
      </c>
      <c r="U156" s="206">
        <f>INDEX($A$145:$H$158,MATCH($L156,$B$145:$B$158,0),MATCH($M$144,$A$145:$H$145,0))*고양시_Modal_split!K$3 * 0.01</f>
        <v>1.5217160290609464E-2</v>
      </c>
      <c r="V156" s="206">
        <f>INDEX($A$145:$H$158,MATCH($L156,$B$145:$B$158,0),MATCH($M$144,$A$145:$H$145,0))*고양시_Modal_split!L$3 * 0.01</f>
        <v>0.30637216051760385</v>
      </c>
      <c r="W156" s="206">
        <f>INDEX($A$145:$H$158,MATCH($L156,$B$145:$B$158,0),MATCH($M$144,$A$145:$H$145,0))*고양시_Modal_split!M$3 * 0.01</f>
        <v>2.3332979112267841E-2</v>
      </c>
      <c r="X156" s="206">
        <f>INDEX($A$145:$H$158,MATCH($L156,$B$145:$B$158,0),MATCH($M$144,$A$145:$H$145,0))*고양시_Modal_split!N$3 * 0.01</f>
        <v>1.0144773527072977E-2</v>
      </c>
      <c r="Y156" s="206">
        <f>INDEX($A$145:$H$158,MATCH($L156,$B$145:$B$158,0),MATCH($M$144,$A$145:$H$145,0))*고양시_Modal_split!O$3 * 0.01</f>
        <v>1.8260592348731359E-2</v>
      </c>
      <c r="Z156" s="209">
        <f>INDEX($A$145:$H$158,MATCH($L156,$B$145:$B$158,0),MATCH($M$144,$A$145:$H$145,0))*고양시_Modal_split!P$3 * 0.01</f>
        <v>10.144773527072976</v>
      </c>
      <c r="AA156" s="207">
        <f>INDEX($A$145:$H$158,MATCH($L156,$B$145:$B$158,0),MATCH($AA$144,$A$145:$H$145,0))*고양시_Modal_split!C$3 * 0.01</f>
        <v>0.2055754440612986</v>
      </c>
      <c r="AB156" s="207">
        <f>INDEX($A$145:$H$158,MATCH($L156,$B$145:$B$158,0),MATCH($AA$144,$A$145:$H$145,0))*고양시_Modal_split!D$3 * 0.01</f>
        <v>34.529332622153127</v>
      </c>
      <c r="AC156" s="207">
        <f>INDEX($A$145:$H$158,MATCH($L156,$B$145:$B$158,0),MATCH($AA$144,$A$145:$H$145,0))*고양시_Modal_split!E$3 * 0.01</f>
        <v>4.1775867025313902</v>
      </c>
      <c r="AD156" s="207">
        <f>INDEX($A$145:$H$158,MATCH($L156,$B$145:$B$158,0),MATCH($AA$144,$A$145:$H$145,0))*고양시_Modal_split!F$3 * 0.01</f>
        <v>6.7325957930075297</v>
      </c>
      <c r="AE156" s="207">
        <f>INDEX($A$145:$H$158,MATCH($L156,$B$145:$B$158,0),MATCH($AA$144,$A$145:$H$145,0))*고양시_Modal_split!G$3 * 0.01</f>
        <v>0.67546217334426684</v>
      </c>
      <c r="AF156" s="207">
        <f>INDEX($A$145:$H$158,MATCH($L156,$B$145:$B$158,0),MATCH($AA$144,$A$145:$H$145,0))*고양시_Modal_split!H$3 * 0.01</f>
        <v>7.34198014504638E-3</v>
      </c>
      <c r="AG156" s="207">
        <f>INDEX($A$145:$H$158,MATCH($L156,$B$145:$B$158,0),MATCH($AA$144,$A$145:$H$145,0))*고양시_Modal_split!I$3 * 0.01</f>
        <v>2.0410704803228934</v>
      </c>
      <c r="AH156" s="207">
        <f>INDEX($A$145:$H$158,MATCH($L156,$B$145:$B$158,0),MATCH($AA$144,$A$145:$H$145,0))*고양시_Modal_split!J$3 * 0.01</f>
        <v>22.348987561521181</v>
      </c>
      <c r="AI156" s="207">
        <f>INDEX($A$145:$H$158,MATCH($L156,$B$145:$B$158,0),MATCH($AA$144,$A$145:$H$145,0))*고양시_Modal_split!K$3 * 0.01</f>
        <v>0.11012970217569569</v>
      </c>
      <c r="AJ156" s="207">
        <f>INDEX($A$145:$H$158,MATCH($L156,$B$145:$B$158,0),MATCH($AA$144,$A$145:$H$145,0))*고양시_Modal_split!L$3 * 0.01</f>
        <v>2.2172780038040067</v>
      </c>
      <c r="AK156" s="207">
        <f>INDEX($A$145:$H$158,MATCH($L156,$B$145:$B$158,0),MATCH($AA$144,$A$145:$H$145,0))*고양시_Modal_split!M$3 * 0.01</f>
        <v>0.16886554333606671</v>
      </c>
      <c r="AL156" s="207">
        <f>INDEX($A$145:$H$158,MATCH($L156,$B$145:$B$158,0),MATCH($AA$144,$A$145:$H$145,0))*고양시_Modal_split!N$3 * 0.01</f>
        <v>7.3419801450463798E-2</v>
      </c>
      <c r="AM156" s="207">
        <f>INDEX($A$145:$H$158,MATCH($L156,$B$145:$B$158,0),MATCH($AA$144,$A$145:$H$145,0))*고양시_Modal_split!O$3 * 0.01</f>
        <v>0.13215564261083482</v>
      </c>
      <c r="AN156" s="207">
        <f>INDEX($A$145:$H$158,MATCH($L156,$B$145:$B$158,0),MATCH($AA$144,$A$145:$H$145,0))*고양시_Modal_split!P$3 * 0.01</f>
        <v>73.419801450463794</v>
      </c>
      <c r="AO156" s="303">
        <f>INDEX($A$145:$H$158,MATCH($L156,$B$145:$B$158,0),MATCH($AO$144,$A$145:$H$145,0))*고양시_Modal_split!C$3 * 0.01</f>
        <v>1.1793354383843114E-2</v>
      </c>
      <c r="AP156" s="303">
        <f>INDEX($A$145:$H$158,MATCH($L156,$B$145:$B$158,0),MATCH($AO$144,$A$145:$H$145,0))*고양시_Modal_split!D$3 * 0.01</f>
        <v>1.9808623452576486</v>
      </c>
      <c r="AQ156" s="303">
        <f>INDEX($A$145:$H$158,MATCH($L156,$B$145:$B$158,0),MATCH($AO$144,$A$145:$H$145,0))*고양시_Modal_split!E$3 * 0.01</f>
        <v>0.23965780872881184</v>
      </c>
      <c r="AR156" s="303">
        <f>INDEX($A$145:$H$158,MATCH($L156,$B$145:$B$158,0),MATCH($AO$144,$A$145:$H$145,0))*고양시_Modal_split!F$3 * 0.01</f>
        <v>0.38623235607086193</v>
      </c>
      <c r="AS156" s="303">
        <f>INDEX($A$145:$H$158,MATCH($L156,$B$145:$B$158,0),MATCH($AO$144,$A$145:$H$145,0))*고양시_Modal_split!G$3 * 0.01</f>
        <v>3.8749592975484512E-2</v>
      </c>
      <c r="AT156" s="303">
        <f>INDEX($A$145:$H$158,MATCH($L156,$B$145:$B$158,0),MATCH($AO$144,$A$145:$H$145,0))*고양시_Modal_split!H$3 * 0.01</f>
        <v>4.2119122799439692E-4</v>
      </c>
      <c r="AU156" s="303">
        <f>INDEX($A$145:$H$158,MATCH($L156,$B$145:$B$158,0),MATCH($AO$144,$A$145:$H$145,0))*고양시_Modal_split!I$3 * 0.01</f>
        <v>0.11709116138244234</v>
      </c>
      <c r="AV156" s="303">
        <f>INDEX($A$145:$H$158,MATCH($L156,$B$145:$B$158,0),MATCH($AO$144,$A$145:$H$145,0))*고양시_Modal_split!J$3 * 0.01</f>
        <v>1.2821060980149444</v>
      </c>
      <c r="AW156" s="303">
        <f>INDEX($A$145:$H$158,MATCH($L156,$B$145:$B$158,0),MATCH($AO$144,$A$145:$H$145,0))*고양시_Modal_split!K$3 * 0.01</f>
        <v>6.3178684199159544E-3</v>
      </c>
      <c r="AX156" s="303">
        <f>INDEX($A$145:$H$158,MATCH($L156,$B$145:$B$158,0),MATCH($AO$144,$A$145:$H$145,0))*고양시_Modal_split!L$3 * 0.01</f>
        <v>0.12719975085430787</v>
      </c>
      <c r="AY156" s="303">
        <f>INDEX($A$145:$H$158,MATCH($L156,$B$145:$B$158,0),MATCH($AO$144,$A$145:$H$145,0))*고양시_Modal_split!M$3 * 0.01</f>
        <v>9.687398243871128E-3</v>
      </c>
      <c r="AZ156" s="303">
        <f>INDEX($A$145:$H$158,MATCH($L156,$B$145:$B$158,0),MATCH($AO$144,$A$145:$H$145,0))*고양시_Modal_split!N$3 * 0.01</f>
        <v>4.2119122799439699E-3</v>
      </c>
      <c r="BA156" s="207">
        <f>INDEX($A$145:$H$158,MATCH($L156,$B$145:$B$158,0),MATCH($AO$144,$A$145:$H$145,0))*고양시_Modal_split!O$3 * 0.01</f>
        <v>7.5814421038991444E-3</v>
      </c>
      <c r="BB156" s="207">
        <f>INDEX($A$145:$H$158,MATCH($L156,$B$145:$B$158,0),MATCH($AO$144,$A$145:$H$145,0))*고양시_Modal_split!P$3 * 0.01</f>
        <v>4.2119122799439692</v>
      </c>
      <c r="BC156" s="207">
        <f>INDEX($A$145:$H$158,MATCH($L156,$B$145:$B$158,0),MATCH($BC$144,$A$145:$H$145,0))*고양시_Modal_split!C$3 * 0.01</f>
        <v>1.8533296569685412E-5</v>
      </c>
      <c r="BD156" s="207">
        <f>INDEX($A$145:$H$158,MATCH($L156,$B$145:$B$158,0),MATCH($BC$144,$A$145:$H$145,0))*고양시_Modal_split!D$3 * 0.01</f>
        <v>3.1129319202582322E-3</v>
      </c>
      <c r="BE156" s="207">
        <f>INDEX($A$145:$H$158,MATCH($L156,$B$145:$B$158,0),MATCH($BC$144,$A$145:$H$145,0))*고양시_Modal_split!E$3 * 0.01</f>
        <v>3.7662306243396428E-4</v>
      </c>
      <c r="BF156" s="207">
        <f>INDEX($A$145:$H$158,MATCH($L156,$B$145:$B$158,0),MATCH($BC$144,$A$145:$H$145,0))*고양시_Modal_split!F$3 * 0.01</f>
        <v>6.0696546265719728E-4</v>
      </c>
      <c r="BG156" s="207">
        <f>INDEX($A$145:$H$158,MATCH($L156,$B$145:$B$158,0),MATCH($BC$144,$A$145:$H$145,0))*고양시_Modal_split!G$3 * 0.01</f>
        <v>6.0895117300394921E-5</v>
      </c>
      <c r="BH156" s="207">
        <f>INDEX($A$145:$H$158,MATCH($L156,$B$145:$B$158,0),MATCH($BC$144,$A$145:$H$145,0))*고양시_Modal_split!H$3 * 0.01</f>
        <v>6.6190344891733624E-7</v>
      </c>
      <c r="BI156" s="207">
        <f>INDEX($A$145:$H$158,MATCH($L156,$B$145:$B$158,0),MATCH($BC$144,$A$145:$H$145,0))*고양시_Modal_split!I$3 * 0.01</f>
        <v>1.8400915879901943E-4</v>
      </c>
      <c r="BJ156" s="207">
        <f>INDEX($A$145:$H$158,MATCH($L156,$B$145:$B$158,0),MATCH($BC$144,$A$145:$H$145,0))*고양시_Modal_split!J$3 * 0.01</f>
        <v>2.0148340985043714E-3</v>
      </c>
      <c r="BK156" s="207">
        <f>INDEX($A$145:$H$158,MATCH($L156,$B$145:$B$158,0),MATCH($BC$144,$A$145:$H$145,0))*고양시_Modal_split!K$3 * 0.01</f>
        <v>9.9285517337600421E-6</v>
      </c>
      <c r="BL156" s="207">
        <f>INDEX($A$145:$H$158,MATCH($L156,$B$145:$B$158,0),MATCH($BC$144,$A$145:$H$145,0))*고양시_Modal_split!L$3 * 0.01</f>
        <v>1.9989484157303554E-4</v>
      </c>
      <c r="BM156" s="207">
        <f>INDEX($A$145:$H$158,MATCH($L156,$B$145:$B$158,0),MATCH($BC$144,$A$145:$H$145,0))*고양시_Modal_split!M$3 * 0.01</f>
        <v>1.522377932509873E-5</v>
      </c>
      <c r="BN156" s="207">
        <f>INDEX($A$145:$H$158,MATCH($L156,$B$145:$B$158,0),MATCH($BC$144,$A$145:$H$145,0))*고양시_Modal_split!N$3 * 0.01</f>
        <v>6.6190344891733619E-6</v>
      </c>
      <c r="BO156" s="207">
        <f>INDEX($A$145:$H$158,MATCH($L156,$B$145:$B$158,0),MATCH($BC$144,$A$145:$H$145,0))*고양시_Modal_split!O$3 * 0.01</f>
        <v>1.1914262080512052E-5</v>
      </c>
      <c r="BP156" s="207">
        <f>INDEX($A$145:$H$158,MATCH($L156,$B$145:$B$158,0),MATCH($BC$144,$A$145:$H$145,0))*고양시_Modal_split!P$3 * 0.01</f>
        <v>6.6190344891733626E-3</v>
      </c>
      <c r="BQ156" s="207">
        <f>INDEX($A$145:$H$158,MATCH($L156,$B$145:$B$158,0),MATCH($BQ$144,$A$145:$H$145,0))*고양시_Modal_split!C$3 * 0.01</f>
        <v>7.0014675929922437E-5</v>
      </c>
      <c r="BR156" s="207">
        <f>INDEX($A$145:$H$158,MATCH($L156,$B$145:$B$158,0),MATCH($BQ$144,$A$145:$H$145,0))*고양시_Modal_split!D$3 * 0.01</f>
        <v>1.1759965032086617E-2</v>
      </c>
      <c r="BS156" s="207">
        <f>INDEX($A$145:$H$158,MATCH($L156,$B$145:$B$158,0),MATCH($BQ$144,$A$145:$H$145,0))*고양시_Modal_split!E$3 * 0.01</f>
        <v>1.4227982358616382E-3</v>
      </c>
      <c r="BT156" s="207">
        <f>INDEX($A$145:$H$158,MATCH($L156,$B$145:$B$158,0),MATCH($BQ$144,$A$145:$H$145,0))*고양시_Modal_split!F$3 * 0.01</f>
        <v>2.29298063670496E-3</v>
      </c>
      <c r="BU156" s="207">
        <f>INDEX($A$145:$H$158,MATCH($L156,$B$145:$B$158,0),MATCH($BQ$144,$A$145:$H$145,0))*고양시_Modal_split!G$3 * 0.01</f>
        <v>2.3004822091260229E-4</v>
      </c>
      <c r="BV156" s="207">
        <f>INDEX($A$145:$H$158,MATCH($L156,$B$145:$B$158,0),MATCH($BQ$144,$A$145:$H$145,0))*고양시_Modal_split!H$3 * 0.01</f>
        <v>2.5005241403543731E-6</v>
      </c>
      <c r="BW156" s="207">
        <f>INDEX($A$145:$H$158,MATCH($L156,$B$145:$B$158,0),MATCH($BQ$144,$A$145:$H$145,0))*고양시_Modal_split!I$3 * 0.01</f>
        <v>6.9514571101851564E-4</v>
      </c>
      <c r="BX156" s="207">
        <f>INDEX($A$145:$H$158,MATCH($L156,$B$145:$B$158,0),MATCH($BQ$144,$A$145:$H$145,0))*고양시_Modal_split!J$3 * 0.01</f>
        <v>7.6115954832387126E-3</v>
      </c>
      <c r="BY156" s="207">
        <f>INDEX($A$145:$H$158,MATCH($L156,$B$145:$B$158,0),MATCH($BQ$144,$A$145:$H$145,0))*고양시_Modal_split!K$3 * 0.01</f>
        <v>3.7507862105315594E-5</v>
      </c>
      <c r="BZ156" s="207">
        <f>INDEX($A$145:$H$158,MATCH($L156,$B$145:$B$158,0),MATCH($BQ$144,$A$145:$H$145,0))*고양시_Modal_split!L$3 * 0.01</f>
        <v>7.5515829038702066E-4</v>
      </c>
      <c r="CA156" s="207">
        <f>INDEX($A$145:$H$158,MATCH($L156,$B$145:$B$158,0),MATCH($BQ$144,$A$145:$H$145,0))*고양시_Modal_split!M$3 * 0.01</f>
        <v>5.7512055228150572E-5</v>
      </c>
      <c r="CB156" s="207">
        <f>INDEX($A$145:$H$158,MATCH($L156,$B$145:$B$158,0),MATCH($BQ$144,$A$145:$H$145,0))*고양시_Modal_split!N$3 * 0.01</f>
        <v>2.5005241403543733E-5</v>
      </c>
      <c r="CC156" s="207">
        <f>INDEX($A$145:$H$158,MATCH($L156,$B$145:$B$158,0),MATCH($BQ$144,$A$145:$H$145,0))*고양시_Modal_split!O$3 * 0.01</f>
        <v>4.5009434526378714E-5</v>
      </c>
      <c r="CD156" s="207">
        <f>INDEX($A$145:$H$158,MATCH($L156,$B$145:$B$158,0),MATCH($BQ$144,$A$145:$H$145,0))*고양시_Modal_split!P$3 * 0.01</f>
        <v>2.5005241403543731E-2</v>
      </c>
      <c r="CE156" s="304">
        <f t="shared" si="84"/>
        <v>0.24586271229344564</v>
      </c>
      <c r="CF156" s="304">
        <f t="shared" si="64"/>
        <v>41.296154854145534</v>
      </c>
      <c r="CG156" s="304">
        <f t="shared" si="65"/>
        <v>4.9962815462489498</v>
      </c>
      <c r="CH156" s="304">
        <f t="shared" si="66"/>
        <v>8.0520038276103456</v>
      </c>
      <c r="CI156" s="304">
        <f t="shared" si="67"/>
        <v>0.8078346261070356</v>
      </c>
      <c r="CJ156" s="304">
        <f t="shared" si="68"/>
        <v>8.7808111533373475E-3</v>
      </c>
      <c r="CK156" s="304">
        <f t="shared" si="69"/>
        <v>2.4410655006277824</v>
      </c>
      <c r="CL156" s="304">
        <f t="shared" si="70"/>
        <v>26.728789150758885</v>
      </c>
      <c r="CM156" s="304">
        <f t="shared" si="71"/>
        <v>0.13171216730006022</v>
      </c>
      <c r="CN156" s="304">
        <f t="shared" si="72"/>
        <v>2.6518049683078782</v>
      </c>
      <c r="CO156" s="304">
        <f t="shared" si="73"/>
        <v>0.2019586565267589</v>
      </c>
      <c r="CP156" s="304">
        <f t="shared" si="74"/>
        <v>8.7808111533373465E-2</v>
      </c>
      <c r="CQ156" s="304">
        <f t="shared" si="75"/>
        <v>0.15805460076007222</v>
      </c>
      <c r="CR156" s="304">
        <f t="shared" si="76"/>
        <v>87.808111533373463</v>
      </c>
      <c r="CS156" s="305">
        <f t="shared" si="85"/>
        <v>0</v>
      </c>
      <c r="CV156" s="267"/>
      <c r="CW156" s="267" t="s">
        <v>305</v>
      </c>
      <c r="CX156" s="267">
        <f>INDEX($M$144:$Z$158,MATCH($CW156,$L$144:$L$158,0),MATCH(CX$145,$M$145:$Z$145,0))/INDEX(고양시_재차인원!$D$4:$H$35,MATCH("고양시",고양시_재차인원!$B$4:$B$35,0),MATCH($CX$144,고양시_재차인원!$D$4:$H$4,0))</f>
        <v>4.2598990980200186</v>
      </c>
      <c r="CY156" s="267">
        <f>INDEX($M$144:$Z$158,MATCH($CW156,$L$144:$L$158,0),MATCH(CY$145,$M$145:$Z$145,0))/INDEX(고양시_재차인원!$K$4:$O$20,MATCH("경기도",고양시_재차인원!$K$4:$K$20,0),MATCH(CY$145,고양시_재차인원!$K$4:$O$4,0))</f>
        <v>3.5237143199280926E-5</v>
      </c>
      <c r="CZ156" s="267">
        <f>INDEX($M$144:$Z$158,MATCH($CW156,$L$144:$L$158,0),MATCH(CZ$145,$M$145:$Z$145,0))/INDEX(고양시_재차인원!$K$4:$O$20,MATCH("경기도",고양시_재차인원!$K$4:$K$20,0),MATCH(CZ$145,고양시_재차인원!$K$4:$O$4,0))</f>
        <v>9.795925809400096E-3</v>
      </c>
      <c r="DA156" s="267">
        <f>INDEX($M$144:$Z$158,MATCH($CW156,$L$144:$L$158,0),MATCH(DA$145,$M$145:$Z$145,0))/INDEX(고양시_재차인원!$D$4:$H$35,MATCH("고양시",고양시_재차인원!$B$4:$B$35,0),MATCH($CX$144,고양시_재차인원!$D$4:$H$4,0))</f>
        <v>0.27354657189071768</v>
      </c>
      <c r="DB156" s="267">
        <f>INDEX($AA$144:$AN$158,MATCH($CW156,$L$144:$L$158,0),MATCH(DB$145,$AA$145:$AN$145,0))/INDEX(고양시_재차인원!$D$4:$H$35,MATCH("고양시",고양시_재차인원!$B$4:$B$35,0),MATCH($DB$144,고양시_재차인원!$D$4:$H$4,0))</f>
        <v>24.488888384505767</v>
      </c>
      <c r="DC156" s="267">
        <f>INDEX($AA$144:$AN$158,MATCH($CW156,$L$144:$L$158,0),MATCH(DC$145,$AA$145:$AN$145,0))/INDEX(고양시_재차인원!$K$4:$O$20,MATCH("경기도",고양시_재차인원!$K$4:$K$20,0),MATCH(DC$145,고양시_재차인원!$K$4:$O$4,0))</f>
        <v>2.5501841420793263E-4</v>
      </c>
      <c r="DD156" s="267">
        <f>INDEX($AA$144:$AN$158,MATCH($CW156,$L$144:$L$158,0),MATCH(DD$145,$AA$145:$AN$145,0))/INDEX(고양시_재차인원!$K$4:$O$20,MATCH("경기도",고양시_재차인원!$K$4:$K$20,0),MATCH(DD$145,고양시_재차인원!$K$4:$O$4,0))</f>
        <v>7.0895119149805258E-2</v>
      </c>
      <c r="DE156" s="267">
        <f>INDEX($AA$144:$AN$158,MATCH($CW156,$L$144:$L$158,0),MATCH(DE$145,$AA$145:$AN$145,0))/INDEX(고양시_재차인원!$D$4:$H$35,MATCH("고양시",고양시_재차인원!$B$4:$B$35,0),MATCH($DB$144,고양시_재차인원!$D$4:$H$4,0))</f>
        <v>1.5725375913503594</v>
      </c>
      <c r="DF156" s="267">
        <f>INDEX($AO$144:$BB$158,MATCH($CW156,$L$144:$L$158,0),MATCH(DF$145,$AO$145:$BB$145,0))/INDEX(고양시_재차인원!$D$4:$H$35,MATCH("고양시",고양시_재차인원!$B$4:$B$35,0),MATCH($DF$144,고양시_재차인원!$D$4:$H$4,0))</f>
        <v>1.5237402655828065</v>
      </c>
      <c r="DG156" s="267">
        <f>INDEX($AO$144:$BB$158,MATCH($CW156,$L$144:$L$158,0),MATCH(DG$145,$AO$145:$BB$145,0))/INDEX(고양시_재차인원!$K$4:$O$20,MATCH("경기도",고양시_재차인원!$K$4:$K$20,0),MATCH(DG$145,고양시_재차인원!$K$4:$O$4,0))</f>
        <v>1.4629775199527508E-5</v>
      </c>
      <c r="DH156" s="267">
        <f>INDEX($AO$144:$BB$158,MATCH($CW156,$L$144:$L$158,0),MATCH(DH$145,$AO$145:$BB$145,0))/INDEX(고양시_재차인원!$K$4:$O$20,MATCH("경기도",고양시_재차인원!$K$4:$K$20,0),MATCH(DH$145,고양시_재차인원!$K$4:$O$4,0))</f>
        <v>4.0670775054686466E-3</v>
      </c>
      <c r="DI156" s="267">
        <f>INDEX($AO$144:$BB$158,MATCH($CW156,$L$144:$L$158,0),MATCH(DI$145,$AO$145:$BB$145,0))/INDEX(고양시_재차인원!$D$4:$H$35,MATCH("고양시",고양시_재차인원!$B$4:$B$35,0),MATCH($DF$144,고양시_재차인원!$D$4:$H$4,0))</f>
        <v>9.7845962195621444E-2</v>
      </c>
      <c r="DJ156" s="267">
        <f>INDEX($BC$144:$BP$158,MATCH($CW156,$L$144:$L$158,0),MATCH(DJ$145,$BC$145:$BP$145,0))/INDEX(고양시_재차인원!$D$4:$H$35,MATCH("고양시",고양시_재차인원!$B$4:$B$35,0),MATCH($DJ$144,고양시_재차인원!$D$4:$H$4,0))</f>
        <v>2.288920529601641E-3</v>
      </c>
      <c r="DK156" s="267">
        <f>INDEX($BC$144:$BP$158,MATCH($CW156,$L$144:$L$158,0),MATCH(DK$145,$BC$145:$BP$145,0))/INDEX(고양시_재차인원!$K$4:$O$20,MATCH("경기도",고양시_재차인원!$K$4:$K$20,0),MATCH(DK$145,고양시_재차인원!$K$4:$O$4,0))</f>
        <v>2.2990741539330889E-8</v>
      </c>
      <c r="DL156" s="267">
        <f>INDEX($BC$144:$BP$158,MATCH($CW156,$L$144:$L$158,0),MATCH(DL$145,$BC$145:$BP$145,0))/INDEX(고양시_재차인원!$K$4:$O$20,MATCH("경기도",고양시_재차인원!$K$4:$K$20,0),MATCH(DL$145,고양시_재차인원!$K$4:$O$4,0))</f>
        <v>6.3914261479339855E-6</v>
      </c>
      <c r="DM156" s="267">
        <f>INDEX($BC$144:$BP$158,MATCH($CW156,$L$144:$L$158,0),MATCH(DM$145,$BC$145:$BP$145,0))/INDEX(고양시_재차인원!$D$4:$H$35,MATCH("고양시",고양시_재차인원!$B$4:$B$35,0),MATCH($DJ$144,고양시_재차인원!$D$4:$H$4,0))</f>
        <v>1.4698150115664377E-4</v>
      </c>
      <c r="DN156" s="267">
        <f>INDEX($BQ$144:$CD$158,MATCH($CW156,$L$144:$L$158,0),MATCH(DN$145,$BQ$145:$CD$145,0))/INDEX(고양시_재차인원!$D$4:$H$35,MATCH("고양시",고양시_재차인원!$B$4:$B$35,0),MATCH($DN$144,고양시_재차인원!$D$4:$H$4,0))</f>
        <v>9.3333055810211254E-3</v>
      </c>
      <c r="DO156" s="267">
        <f>INDEX($BQ$144:$CD$158,MATCH($CW156,$L$144:$L$158,0),MATCH(DO$145,$BQ$145:$CD$145,0))/INDEX(고양시_재차인원!$K$4:$O$20,MATCH("경기도",고양시_재차인원!$K$4:$K$20,0),MATCH(DO$145,고양시_재차인원!$K$4:$O$4,0))</f>
        <v>8.6853912481916407E-8</v>
      </c>
      <c r="DP156" s="267">
        <f>INDEX($BQ$144:$CD$158,MATCH($CW156,$L$144:$L$158,0),MATCH(DP$145,$BQ$145:$CD$145,0))/INDEX(고양시_재차인원!$K$4:$O$20,MATCH("경기도",고양시_재차인원!$K$4:$K$20,0),MATCH(DP$145,고양시_재차인원!$K$4:$O$4,0))</f>
        <v>2.4145387669972757E-5</v>
      </c>
      <c r="DQ156" s="267">
        <f>INDEX($BQ$144:$CD$158,MATCH($CW156,$L$144:$L$158,0),MATCH(DQ$145,$BQ$145:$CD$145,0))/INDEX(고양시_재차인원!$D$4:$H$35,MATCH("고양시",고양시_재차인원!$B$4:$B$35,0),MATCH($DN$144,고양시_재차인원!$D$4:$H$4,0))</f>
        <v>5.993319764976354E-4</v>
      </c>
      <c r="DR156" s="270">
        <f t="shared" si="86"/>
        <v>30.284149974219211</v>
      </c>
      <c r="DS156" s="270">
        <f t="shared" si="77"/>
        <v>3.0499517726076229E-4</v>
      </c>
      <c r="DT156" s="270">
        <f t="shared" si="78"/>
        <v>8.4788659278491899E-2</v>
      </c>
      <c r="DU156" s="270">
        <f t="shared" si="79"/>
        <v>1.9446764389143527</v>
      </c>
      <c r="DW156" s="278"/>
      <c r="DX156" s="278" t="s">
        <v>305</v>
      </c>
      <c r="DY156" s="281">
        <f t="shared" si="87"/>
        <v>32.228826413133561</v>
      </c>
      <c r="DZ156" s="281">
        <f t="shared" si="88"/>
        <v>8.5093654455752663E-2</v>
      </c>
      <c r="EB156" s="278"/>
      <c r="EC156" s="278" t="s">
        <v>305</v>
      </c>
      <c r="ED156" s="281">
        <f t="shared" si="89"/>
        <v>32.228826413133561</v>
      </c>
      <c r="EE156" s="281">
        <f t="shared" si="80"/>
        <v>8.5093654455752663E-2</v>
      </c>
      <c r="EL156" s="306" t="s">
        <v>667</v>
      </c>
      <c r="EM156" s="306" t="s">
        <v>221</v>
      </c>
      <c r="EN156" s="306">
        <v>22244.514299999999</v>
      </c>
      <c r="EO156" s="306">
        <v>0.11978017675227419</v>
      </c>
      <c r="EP156" s="307">
        <v>849111</v>
      </c>
      <c r="EQ156" s="308">
        <f t="shared" si="90"/>
        <v>518.02655827307217</v>
      </c>
      <c r="ER156" s="308">
        <f t="shared" si="91"/>
        <v>1.3677436585350899</v>
      </c>
      <c r="ET156" s="420" t="s">
        <v>667</v>
      </c>
      <c r="EU156" s="420" t="s">
        <v>221</v>
      </c>
      <c r="EV156" s="420">
        <v>22244.514299999999</v>
      </c>
      <c r="EW156" s="420">
        <v>0.11978017675227419</v>
      </c>
      <c r="EX156" s="421">
        <v>849111</v>
      </c>
      <c r="EY156" s="422">
        <f t="shared" si="92"/>
        <v>503.26280136228962</v>
      </c>
      <c r="EZ156" s="422">
        <f t="shared" si="81"/>
        <v>1.3287629642668399</v>
      </c>
      <c r="FA156">
        <v>0</v>
      </c>
      <c r="FD156" s="306" t="s">
        <v>667</v>
      </c>
      <c r="FE156" s="306" t="s">
        <v>221</v>
      </c>
      <c r="FF156" s="306">
        <v>22244.514299999999</v>
      </c>
      <c r="FG156" s="306">
        <v>0.11978017675227419</v>
      </c>
      <c r="FH156" s="307">
        <v>849111</v>
      </c>
      <c r="FI156" s="308">
        <f t="shared" si="82"/>
        <v>503.26280136228962</v>
      </c>
      <c r="FJ156" s="308">
        <f t="shared" si="83"/>
        <v>1.3287629642668399</v>
      </c>
      <c r="FL156" s="101"/>
      <c r="FM156" s="101"/>
      <c r="FN156" s="101"/>
      <c r="FO156" s="101"/>
      <c r="FP156" s="374"/>
      <c r="FQ156" s="404"/>
      <c r="FR156" s="404"/>
    </row>
    <row r="157" spans="1:174" ht="25">
      <c r="A157" s="205"/>
      <c r="B157" s="205" t="s">
        <v>47</v>
      </c>
      <c r="C157" s="400">
        <f>$AB72*KTDB_TripDistribution_2040!T$12 * (1+KTDB_발생량도착량_증가율!$C$7*2) * (1+KTDB_발생량도착량_증가율!$D$8*5)* (1+KTDB_발생량도착량_증가율!$E$8*5)* (1+KTDB_발생량도착량_증가율!$F$8*5)</f>
        <v>878.95959767223633</v>
      </c>
      <c r="D157" s="400">
        <f>$AB72*KTDB_TripDistribution_2040!U$12 * (1+KTDB_발생량도착량_증가율!$C$7*2) * (1+KTDB_발생량도착량_증가율!$D$8*5)* (1+KTDB_발생량도착량_증가율!$E$8*5)* (1+KTDB_발생량도착량_증가율!$F$8*5)</f>
        <v>6361.2104274046342</v>
      </c>
      <c r="E157" s="400">
        <f>$AB72*KTDB_TripDistribution_2040!V$12 * (1+KTDB_발생량도착량_증가율!$C$7*2) * (1+KTDB_발생량도착량_증가율!$D$8*5)* (1+KTDB_발생량도착량_증가율!$E$8*5)* (1+KTDB_발생량도착량_증가율!$F$8*5)</f>
        <v>364.92689690219737</v>
      </c>
      <c r="F157" s="400">
        <f>$AB72*KTDB_TripDistribution_2040!W$12 * (1+KTDB_발생량도착량_증가율!$C$7*2) * (1+KTDB_발생량도착량_증가율!$D$8*5)* (1+KTDB_발생량도착량_증가율!$E$8*5)* (1+KTDB_발생량도착량_증가율!$F$8*5)</f>
        <v>0.57348386103017068</v>
      </c>
      <c r="G157" s="400">
        <f>$AB72*KTDB_TripDistribution_2040!X$12 * (1+KTDB_발생량도착량_증가율!$C$7*2) * (1+KTDB_발생량도착량_증가율!$D$8*5)* (1+KTDB_발생량도착량_증가율!$E$8*5)* (1+KTDB_발생량도착량_증가율!$F$8*5)</f>
        <v>2.1664945861139708</v>
      </c>
      <c r="H157" s="400">
        <f>$AB72*KTDB_TripDistribution_2040!Y$12 * (1+KTDB_발생량도착량_증가율!$C$7*2) * (1+KTDB_발생량도착량_증가율!$D$8*5)* (1+KTDB_발생량도착량_증가율!$E$8*5)* (1+KTDB_발생량도착량_증가율!$F$8*5)</f>
        <v>7607.836900426214</v>
      </c>
      <c r="I157" s="56"/>
      <c r="J157" s="56"/>
      <c r="K157" s="206"/>
      <c r="L157" s="206" t="s">
        <v>47</v>
      </c>
      <c r="M157" s="206">
        <f>INDEX($A$145:$H$158,MATCH($L157,$B$145:$B$158,0),MATCH($M$144,$A$145:$H$145,0))*고양시_Modal_split!C$3 * 0.01</f>
        <v>2.4610868734822615</v>
      </c>
      <c r="N157" s="206">
        <f>INDEX($A$145:$H$158,MATCH($L157,$B$145:$B$158,0),MATCH($M$144,$A$145:$H$145,0))*고양시_Modal_split!D$3 * 0.01</f>
        <v>413.3746987852528</v>
      </c>
      <c r="O157" s="206">
        <f>INDEX($A$145:$H$158,MATCH($L157,$B$145:$B$158,0),MATCH($M$144,$A$145:$H$145,0))*고양시_Modal_split!E$3 * 0.01</f>
        <v>50.012801107550239</v>
      </c>
      <c r="P157" s="206">
        <f>INDEX($A$145:$H$158,MATCH($L157,$B$145:$B$158,0),MATCH($M$144,$A$145:$H$145,0))*고양시_Modal_split!F$3 * 0.01</f>
        <v>80.600595106544077</v>
      </c>
      <c r="Q157" s="206">
        <f>INDEX($A$145:$H$158,MATCH($L157,$B$145:$B$158,0),MATCH($M$144,$A$145:$H$145,0))*고양시_Modal_split!G$3 * 0.01</f>
        <v>8.0864282985845737</v>
      </c>
      <c r="R157" s="206">
        <f>INDEX($A$145:$H$158,MATCH($L157,$B$145:$B$158,0),MATCH($M$144,$A$145:$H$145,0))*고양시_Modal_split!H$3 * 0.01</f>
        <v>8.7895959767223641E-2</v>
      </c>
      <c r="S157" s="206">
        <f>INDEX($A$145:$H$158,MATCH($L157,$B$145:$B$158,0),MATCH($M$144,$A$145:$H$145,0))*고양시_Modal_split!I$3 * 0.01</f>
        <v>24.435076815288166</v>
      </c>
      <c r="T157" s="206">
        <f>INDEX($A$145:$H$158,MATCH($L157,$B$145:$B$158,0),MATCH($M$144,$A$145:$H$145,0))*고양시_Modal_split!J$3 * 0.01</f>
        <v>267.55530153142877</v>
      </c>
      <c r="U157" s="206">
        <f>INDEX($A$145:$H$158,MATCH($L157,$B$145:$B$158,0),MATCH($M$144,$A$145:$H$145,0))*고양시_Modal_split!K$3 * 0.01</f>
        <v>1.3184393965083545</v>
      </c>
      <c r="V157" s="206">
        <f>INDEX($A$145:$H$158,MATCH($L157,$B$145:$B$158,0),MATCH($M$144,$A$145:$H$145,0))*고양시_Modal_split!L$3 * 0.01</f>
        <v>26.544579849701535</v>
      </c>
      <c r="W157" s="206">
        <f>INDEX($A$145:$H$158,MATCH($L157,$B$145:$B$158,0),MATCH($M$144,$A$145:$H$145,0))*고양시_Modal_split!M$3 * 0.01</f>
        <v>2.0216070746461434</v>
      </c>
      <c r="X157" s="206">
        <f>INDEX($A$145:$H$158,MATCH($L157,$B$145:$B$158,0),MATCH($M$144,$A$145:$H$145,0))*고양시_Modal_split!N$3 * 0.01</f>
        <v>0.87895959767223641</v>
      </c>
      <c r="Y157" s="206">
        <f>INDEX($A$145:$H$158,MATCH($L157,$B$145:$B$158,0),MATCH($M$144,$A$145:$H$145,0))*고양시_Modal_split!O$3 * 0.01</f>
        <v>1.5821272758100253</v>
      </c>
      <c r="Z157" s="209">
        <f>INDEX($A$145:$H$158,MATCH($L157,$B$145:$B$158,0),MATCH($M$144,$A$145:$H$145,0))*고양시_Modal_split!P$3 * 0.01</f>
        <v>878.95959767223633</v>
      </c>
      <c r="AA157" s="207">
        <f>INDEX($A$145:$H$158,MATCH($L157,$B$145:$B$158,0),MATCH($AA$144,$A$145:$H$145,0))*고양시_Modal_split!C$3 * 0.01</f>
        <v>17.811389196732975</v>
      </c>
      <c r="AB157" s="207">
        <f>INDEX($A$145:$H$158,MATCH($L157,$B$145:$B$158,0),MATCH($AA$144,$A$145:$H$145,0))*고양시_Modal_split!D$3 * 0.01</f>
        <v>2991.6772640084</v>
      </c>
      <c r="AC157" s="207">
        <f>INDEX($A$145:$H$158,MATCH($L157,$B$145:$B$158,0),MATCH($AA$144,$A$145:$H$145,0))*고양시_Modal_split!E$3 * 0.01</f>
        <v>361.95287331932366</v>
      </c>
      <c r="AD157" s="207">
        <f>INDEX($A$145:$H$158,MATCH($L157,$B$145:$B$158,0),MATCH($AA$144,$A$145:$H$145,0))*고양시_Modal_split!F$3 * 0.01</f>
        <v>583.322996193005</v>
      </c>
      <c r="AE157" s="207">
        <f>INDEX($A$145:$H$158,MATCH($L157,$B$145:$B$158,0),MATCH($AA$144,$A$145:$H$145,0))*고양시_Modal_split!G$3 * 0.01</f>
        <v>58.523135932122635</v>
      </c>
      <c r="AF157" s="207">
        <f>INDEX($A$145:$H$158,MATCH($L157,$B$145:$B$158,0),MATCH($AA$144,$A$145:$H$145,0))*고양시_Modal_split!H$3 * 0.01</f>
        <v>0.63612104274046344</v>
      </c>
      <c r="AG157" s="207">
        <f>INDEX($A$145:$H$158,MATCH($L157,$B$145:$B$158,0),MATCH($AA$144,$A$145:$H$145,0))*고양시_Modal_split!I$3 * 0.01</f>
        <v>176.84164988184884</v>
      </c>
      <c r="AH157" s="207">
        <f>INDEX($A$145:$H$158,MATCH($L157,$B$145:$B$158,0),MATCH($AA$144,$A$145:$H$145,0))*고양시_Modal_split!J$3 * 0.01</f>
        <v>1936.3524541019706</v>
      </c>
      <c r="AI157" s="207">
        <f>INDEX($A$145:$H$158,MATCH($L157,$B$145:$B$158,0),MATCH($AA$144,$A$145:$H$145,0))*고양시_Modal_split!K$3 * 0.01</f>
        <v>9.5418156411069504</v>
      </c>
      <c r="AJ157" s="207">
        <f>INDEX($A$145:$H$158,MATCH($L157,$B$145:$B$158,0),MATCH($AA$144,$A$145:$H$145,0))*고양시_Modal_split!L$3 * 0.01</f>
        <v>192.10855490761995</v>
      </c>
      <c r="AK157" s="207">
        <f>INDEX($A$145:$H$158,MATCH($L157,$B$145:$B$158,0),MATCH($AA$144,$A$145:$H$145,0))*고양시_Modal_split!M$3 * 0.01</f>
        <v>14.630783983030659</v>
      </c>
      <c r="AL157" s="207">
        <f>INDEX($A$145:$H$158,MATCH($L157,$B$145:$B$158,0),MATCH($AA$144,$A$145:$H$145,0))*고양시_Modal_split!N$3 * 0.01</f>
        <v>6.361210427404635</v>
      </c>
      <c r="AM157" s="207">
        <f>INDEX($A$145:$H$158,MATCH($L157,$B$145:$B$158,0),MATCH($AA$144,$A$145:$H$145,0))*고양시_Modal_split!O$3 * 0.01</f>
        <v>11.450178769328341</v>
      </c>
      <c r="AN157" s="207">
        <f>INDEX($A$145:$H$158,MATCH($L157,$B$145:$B$158,0),MATCH($AA$144,$A$145:$H$145,0))*고양시_Modal_split!P$3 * 0.01</f>
        <v>6361.2104274046342</v>
      </c>
      <c r="AO157" s="303">
        <f>INDEX($A$145:$H$158,MATCH($L157,$B$145:$B$158,0),MATCH($AO$144,$A$145:$H$145,0))*고양시_Modal_split!C$3 * 0.01</f>
        <v>1.0217953113261526</v>
      </c>
      <c r="AP157" s="303">
        <f>INDEX($A$145:$H$158,MATCH($L157,$B$145:$B$158,0),MATCH($AO$144,$A$145:$H$145,0))*고양시_Modal_split!D$3 * 0.01</f>
        <v>171.62511961310341</v>
      </c>
      <c r="AQ157" s="303">
        <f>INDEX($A$145:$H$158,MATCH($L157,$B$145:$B$158,0),MATCH($AO$144,$A$145:$H$145,0))*고양시_Modal_split!E$3 * 0.01</f>
        <v>20.764340433735029</v>
      </c>
      <c r="AR157" s="303">
        <f>INDEX($A$145:$H$158,MATCH($L157,$B$145:$B$158,0),MATCH($AO$144,$A$145:$H$145,0))*고양시_Modal_split!F$3 * 0.01</f>
        <v>33.4637964459315</v>
      </c>
      <c r="AS157" s="303">
        <f>INDEX($A$145:$H$158,MATCH($L157,$B$145:$B$158,0),MATCH($AO$144,$A$145:$H$145,0))*고양시_Modal_split!G$3 * 0.01</f>
        <v>3.3573274515002156</v>
      </c>
      <c r="AT157" s="303">
        <f>INDEX($A$145:$H$158,MATCH($L157,$B$145:$B$158,0),MATCH($AO$144,$A$145:$H$145,0))*고양시_Modal_split!H$3 * 0.01</f>
        <v>3.6492689690219737E-2</v>
      </c>
      <c r="AU157" s="303">
        <f>INDEX($A$145:$H$158,MATCH($L157,$B$145:$B$158,0),MATCH($AO$144,$A$145:$H$145,0))*고양시_Modal_split!I$3 * 0.01</f>
        <v>10.144967733881087</v>
      </c>
      <c r="AV157" s="303">
        <f>INDEX($A$145:$H$158,MATCH($L157,$B$145:$B$158,0),MATCH($AO$144,$A$145:$H$145,0))*고양시_Modal_split!J$3 * 0.01</f>
        <v>111.08374741702889</v>
      </c>
      <c r="AW157" s="303">
        <f>INDEX($A$145:$H$158,MATCH($L157,$B$145:$B$158,0),MATCH($AO$144,$A$145:$H$145,0))*고양시_Modal_split!K$3 * 0.01</f>
        <v>0.547390345353296</v>
      </c>
      <c r="AX157" s="303">
        <f>INDEX($A$145:$H$158,MATCH($L157,$B$145:$B$158,0),MATCH($AO$144,$A$145:$H$145,0))*고양시_Modal_split!L$3 * 0.01</f>
        <v>11.02079228644636</v>
      </c>
      <c r="AY157" s="303">
        <f>INDEX($A$145:$H$158,MATCH($L157,$B$145:$B$158,0),MATCH($AO$144,$A$145:$H$145,0))*고양시_Modal_split!M$3 * 0.01</f>
        <v>0.8393318628750539</v>
      </c>
      <c r="AZ157" s="303">
        <f>INDEX($A$145:$H$158,MATCH($L157,$B$145:$B$158,0),MATCH($AO$144,$A$145:$H$145,0))*고양시_Modal_split!N$3 * 0.01</f>
        <v>0.36492689690219743</v>
      </c>
      <c r="BA157" s="207">
        <f>INDEX($A$145:$H$158,MATCH($L157,$B$145:$B$158,0),MATCH($AO$144,$A$145:$H$145,0))*고양시_Modal_split!O$3 * 0.01</f>
        <v>0.65686841442395516</v>
      </c>
      <c r="BB157" s="207">
        <f>INDEX($A$145:$H$158,MATCH($L157,$B$145:$B$158,0),MATCH($AO$144,$A$145:$H$145,0))*고양시_Modal_split!P$3 * 0.01</f>
        <v>364.92689690219743</v>
      </c>
      <c r="BC157" s="207">
        <f>INDEX($A$145:$H$158,MATCH($L157,$B$145:$B$158,0),MATCH($BC$144,$A$145:$H$145,0))*고양시_Modal_split!C$3 * 0.01</f>
        <v>1.6057548108844777E-3</v>
      </c>
      <c r="BD157" s="207">
        <f>INDEX($A$145:$H$158,MATCH($L157,$B$145:$B$158,0),MATCH($BC$144,$A$145:$H$145,0))*고양시_Modal_split!D$3 * 0.01</f>
        <v>0.26970945984248929</v>
      </c>
      <c r="BE157" s="207">
        <f>INDEX($A$145:$H$158,MATCH($L157,$B$145:$B$158,0),MATCH($BC$144,$A$145:$H$145,0))*고양시_Modal_split!E$3 * 0.01</f>
        <v>3.2631231692616711E-2</v>
      </c>
      <c r="BF157" s="207">
        <f>INDEX($A$145:$H$158,MATCH($L157,$B$145:$B$158,0),MATCH($BC$144,$A$145:$H$145,0))*고양시_Modal_split!F$3 * 0.01</f>
        <v>5.2588470056466649E-2</v>
      </c>
      <c r="BG157" s="207">
        <f>INDEX($A$145:$H$158,MATCH($L157,$B$145:$B$158,0),MATCH($BC$144,$A$145:$H$145,0))*고양시_Modal_split!G$3 * 0.01</f>
        <v>5.2760515214775698E-3</v>
      </c>
      <c r="BH157" s="207">
        <f>INDEX($A$145:$H$158,MATCH($L157,$B$145:$B$158,0),MATCH($BC$144,$A$145:$H$145,0))*고양시_Modal_split!H$3 * 0.01</f>
        <v>5.7348386103017065E-5</v>
      </c>
      <c r="BI157" s="207">
        <f>INDEX($A$145:$H$158,MATCH($L157,$B$145:$B$158,0),MATCH($BC$144,$A$145:$H$145,0))*고양시_Modal_split!I$3 * 0.01</f>
        <v>1.5942851336638746E-2</v>
      </c>
      <c r="BJ157" s="207">
        <f>INDEX($A$145:$H$158,MATCH($L157,$B$145:$B$158,0),MATCH($BC$144,$A$145:$H$145,0))*고양시_Modal_split!J$3 * 0.01</f>
        <v>0.17456848729758395</v>
      </c>
      <c r="BK157" s="207">
        <f>INDEX($A$145:$H$158,MATCH($L157,$B$145:$B$158,0),MATCH($BC$144,$A$145:$H$145,0))*고양시_Modal_split!K$3 * 0.01</f>
        <v>8.6022579154525604E-4</v>
      </c>
      <c r="BL157" s="207">
        <f>INDEX($A$145:$H$158,MATCH($L157,$B$145:$B$158,0),MATCH($BC$144,$A$145:$H$145,0))*고양시_Modal_split!L$3 * 0.01</f>
        <v>1.7319212603111155E-2</v>
      </c>
      <c r="BM157" s="207">
        <f>INDEX($A$145:$H$158,MATCH($L157,$B$145:$B$158,0),MATCH($BC$144,$A$145:$H$145,0))*고양시_Modal_split!M$3 * 0.01</f>
        <v>1.3190128803693925E-3</v>
      </c>
      <c r="BN157" s="207">
        <f>INDEX($A$145:$H$158,MATCH($L157,$B$145:$B$158,0),MATCH($BC$144,$A$145:$H$145,0))*고양시_Modal_split!N$3 * 0.01</f>
        <v>5.7348386103017073E-4</v>
      </c>
      <c r="BO157" s="207">
        <f>INDEX($A$145:$H$158,MATCH($L157,$B$145:$B$158,0),MATCH($BC$144,$A$145:$H$145,0))*고양시_Modal_split!O$3 * 0.01</f>
        <v>1.0322709498543073E-3</v>
      </c>
      <c r="BP157" s="207">
        <f>INDEX($A$145:$H$158,MATCH($L157,$B$145:$B$158,0),MATCH($BC$144,$A$145:$H$145,0))*고양시_Modal_split!P$3 * 0.01</f>
        <v>0.57348386103017068</v>
      </c>
      <c r="BQ157" s="207">
        <f>INDEX($A$145:$H$158,MATCH($L157,$B$145:$B$158,0),MATCH($BQ$144,$A$145:$H$145,0))*고양시_Modal_split!C$3 * 0.01</f>
        <v>6.0661848411191176E-3</v>
      </c>
      <c r="BR157" s="207">
        <f>INDEX($A$145:$H$158,MATCH($L157,$B$145:$B$158,0),MATCH($BQ$144,$A$145:$H$145,0))*고양시_Modal_split!D$3 * 0.01</f>
        <v>1.0189024038494006</v>
      </c>
      <c r="BS157" s="207">
        <f>INDEX($A$145:$H$158,MATCH($L157,$B$145:$B$158,0),MATCH($BQ$144,$A$145:$H$145,0))*고양시_Modal_split!E$3 * 0.01</f>
        <v>0.12327354194988493</v>
      </c>
      <c r="BT157" s="207">
        <f>INDEX($A$145:$H$158,MATCH($L157,$B$145:$B$158,0),MATCH($BQ$144,$A$145:$H$145,0))*고양시_Modal_split!F$3 * 0.01</f>
        <v>0.19866755354665114</v>
      </c>
      <c r="BU157" s="207">
        <f>INDEX($A$145:$H$158,MATCH($L157,$B$145:$B$158,0),MATCH($BQ$144,$A$145:$H$145,0))*고양시_Modal_split!G$3 * 0.01</f>
        <v>1.9931750192248531E-2</v>
      </c>
      <c r="BV157" s="207">
        <f>INDEX($A$145:$H$158,MATCH($L157,$B$145:$B$158,0),MATCH($BQ$144,$A$145:$H$145,0))*고양시_Modal_split!H$3 * 0.01</f>
        <v>2.1664945861139709E-4</v>
      </c>
      <c r="BW157" s="207">
        <f>INDEX($A$145:$H$158,MATCH($L157,$B$145:$B$158,0),MATCH($BQ$144,$A$145:$H$145,0))*고양시_Modal_split!I$3 * 0.01</f>
        <v>6.0228549493968386E-2</v>
      </c>
      <c r="BX157" s="207">
        <f>INDEX($A$145:$H$158,MATCH($L157,$B$145:$B$158,0),MATCH($BQ$144,$A$145:$H$145,0))*고양시_Modal_split!J$3 * 0.01</f>
        <v>0.65948095201309276</v>
      </c>
      <c r="BY157" s="207">
        <f>INDEX($A$145:$H$158,MATCH($L157,$B$145:$B$158,0),MATCH($BQ$144,$A$145:$H$145,0))*고양시_Modal_split!K$3 * 0.01</f>
        <v>3.2497418791709561E-3</v>
      </c>
      <c r="BZ157" s="207">
        <f>INDEX($A$145:$H$158,MATCH($L157,$B$145:$B$158,0),MATCH($BQ$144,$A$145:$H$145,0))*고양시_Modal_split!L$3 * 0.01</f>
        <v>6.5428136500641915E-2</v>
      </c>
      <c r="CA157" s="207">
        <f>INDEX($A$145:$H$158,MATCH($L157,$B$145:$B$158,0),MATCH($BQ$144,$A$145:$H$145,0))*고양시_Modal_split!M$3 * 0.01</f>
        <v>4.9829375480621328E-3</v>
      </c>
      <c r="CB157" s="207">
        <f>INDEX($A$145:$H$158,MATCH($L157,$B$145:$B$158,0),MATCH($BQ$144,$A$145:$H$145,0))*고양시_Modal_split!N$3 * 0.01</f>
        <v>2.1664945861139709E-3</v>
      </c>
      <c r="CC157" s="207">
        <f>INDEX($A$145:$H$158,MATCH($L157,$B$145:$B$158,0),MATCH($BQ$144,$A$145:$H$145,0))*고양시_Modal_split!O$3 * 0.01</f>
        <v>3.8996902550051471E-3</v>
      </c>
      <c r="CD157" s="207">
        <f>INDEX($A$145:$H$158,MATCH($L157,$B$145:$B$158,0),MATCH($BQ$144,$A$145:$H$145,0))*고양시_Modal_split!P$3 * 0.01</f>
        <v>2.1664945861139708</v>
      </c>
      <c r="CE157" s="304">
        <f t="shared" si="84"/>
        <v>21.301943321193395</v>
      </c>
      <c r="CF157" s="304">
        <f t="shared" si="64"/>
        <v>3577.9656942704482</v>
      </c>
      <c r="CG157" s="304">
        <f t="shared" si="65"/>
        <v>432.88591963425137</v>
      </c>
      <c r="CH157" s="304">
        <f t="shared" si="66"/>
        <v>697.63864376908373</v>
      </c>
      <c r="CI157" s="304">
        <f t="shared" si="67"/>
        <v>69.992099483921137</v>
      </c>
      <c r="CJ157" s="304">
        <f t="shared" si="68"/>
        <v>0.76078369004262136</v>
      </c>
      <c r="CK157" s="304">
        <f t="shared" si="69"/>
        <v>211.49786583184869</v>
      </c>
      <c r="CL157" s="304">
        <f t="shared" si="70"/>
        <v>2315.825552489739</v>
      </c>
      <c r="CM157" s="304">
        <f t="shared" si="71"/>
        <v>11.411755350639318</v>
      </c>
      <c r="CN157" s="304">
        <f t="shared" si="72"/>
        <v>229.75667439287156</v>
      </c>
      <c r="CO157" s="304">
        <f t="shared" si="73"/>
        <v>17.498024870980284</v>
      </c>
      <c r="CP157" s="304">
        <f t="shared" si="74"/>
        <v>7.6078369004262134</v>
      </c>
      <c r="CQ157" s="304">
        <f t="shared" si="75"/>
        <v>13.694106420767183</v>
      </c>
      <c r="CR157" s="304">
        <f t="shared" si="76"/>
        <v>7607.8369004262131</v>
      </c>
      <c r="CS157" s="305">
        <f t="shared" si="85"/>
        <v>0</v>
      </c>
      <c r="CV157" s="267"/>
      <c r="CW157" s="267" t="s">
        <v>47</v>
      </c>
      <c r="CX157" s="267">
        <f>INDEX($M$144:$Z$158,MATCH($CW157,$L$144:$L$158,0),MATCH(CX$145,$M$145:$Z$145,0))/INDEX(고양시_재차인원!$D$4:$H$35,MATCH("고양시",고양시_재차인원!$B$4:$B$35,0),MATCH($CX$144,고양시_재차인원!$D$4:$H$4,0))</f>
        <v>369.08455248683282</v>
      </c>
      <c r="CY157" s="267">
        <f>INDEX($M$144:$Z$158,MATCH($CW157,$L$144:$L$158,0),MATCH(CY$145,$M$145:$Z$145,0))/INDEX(고양시_재차인원!$K$4:$O$20,MATCH("경기도",고양시_재차인원!$K$4:$K$20,0),MATCH(CY$145,고양시_재차인원!$K$4:$O$4,0))</f>
        <v>3.0530031180001265E-3</v>
      </c>
      <c r="CZ157" s="267">
        <f>INDEX($M$144:$Z$158,MATCH($CW157,$L$144:$L$158,0),MATCH(CZ$145,$M$145:$Z$145,0))/INDEX(고양시_재차인원!$K$4:$O$20,MATCH("경기도",고양시_재차인원!$K$4:$K$20,0),MATCH(CZ$145,고양시_재차인원!$K$4:$O$4,0))</f>
        <v>0.84873486680403498</v>
      </c>
      <c r="DA157" s="267">
        <f>INDEX($M$144:$Z$158,MATCH($CW157,$L$144:$L$158,0),MATCH(DA$145,$M$145:$Z$145,0))/INDEX(고양시_재차인원!$D$4:$H$35,MATCH("고양시",고양시_재차인원!$B$4:$B$35,0),MATCH($CX$144,고양시_재차인원!$D$4:$H$4,0))</f>
        <v>23.700517722947797</v>
      </c>
      <c r="DB157" s="267">
        <f>INDEX($AA$144:$AN$158,MATCH($CW157,$L$144:$L$158,0),MATCH(DB$145,$AA$145:$AN$145,0))/INDEX(고양시_재차인원!$D$4:$H$35,MATCH("고양시",고양시_재차인원!$B$4:$B$35,0),MATCH($DB$144,고양시_재차인원!$D$4:$H$4,0))</f>
        <v>2121.7569248286527</v>
      </c>
      <c r="DC157" s="267">
        <f>INDEX($AA$144:$AN$158,MATCH($CW157,$L$144:$L$158,0),MATCH(DC$145,$AA$145:$AN$145,0))/INDEX(고양시_재차인원!$K$4:$O$20,MATCH("경기도",고양시_재차인원!$K$4:$K$20,0),MATCH(DC$145,고양시_재차인원!$K$4:$O$4,0))</f>
        <v>2.2095208153541629E-2</v>
      </c>
      <c r="DD157" s="267">
        <f>INDEX($AA$144:$AN$158,MATCH($CW157,$L$144:$L$158,0),MATCH(DD$145,$AA$145:$AN$145,0))/INDEX(고양시_재차인원!$K$4:$O$20,MATCH("경기도",고양시_재차인원!$K$4:$K$20,0),MATCH(DD$145,고양시_재차인원!$K$4:$O$4,0))</f>
        <v>6.1424678666845729</v>
      </c>
      <c r="DE157" s="267">
        <f>INDEX($AA$144:$AN$158,MATCH($CW157,$L$144:$L$158,0),MATCH(DE$145,$AA$145:$AN$145,0))/INDEX(고양시_재차인원!$D$4:$H$35,MATCH("고양시",고양시_재차인원!$B$4:$B$35,0),MATCH($DB$144,고양시_재차인원!$D$4:$H$4,0))</f>
        <v>136.24720206214181</v>
      </c>
      <c r="DF157" s="267">
        <f>INDEX($AO$144:$BB$158,MATCH($CW157,$L$144:$L$158,0),MATCH(DF$145,$AO$145:$BB$145,0))/INDEX(고양시_재차인원!$D$4:$H$35,MATCH("고양시",고양시_재차인원!$B$4:$B$35,0),MATCH($DF$144,고양시_재차인원!$D$4:$H$4,0))</f>
        <v>132.0193227793103</v>
      </c>
      <c r="DG157" s="267">
        <f>INDEX($AO$144:$BB$158,MATCH($CW157,$L$144:$L$158,0),MATCH(DG$145,$AO$145:$BB$145,0))/INDEX(고양시_재차인원!$K$4:$O$20,MATCH("경기도",고양시_재차인원!$K$4:$K$20,0),MATCH(DG$145,고양시_재차인원!$K$4:$O$4,0))</f>
        <v>1.2675474015359409E-3</v>
      </c>
      <c r="DH157" s="267">
        <f>INDEX($AO$144:$BB$158,MATCH($CW157,$L$144:$L$158,0),MATCH(DH$145,$AO$145:$BB$145,0))/INDEX(고양시_재차인원!$K$4:$O$20,MATCH("경기도",고양시_재차인원!$K$4:$K$20,0),MATCH(DH$145,고양시_재차인원!$K$4:$O$4,0))</f>
        <v>0.35237817762699158</v>
      </c>
      <c r="DI157" s="267">
        <f>INDEX($AO$144:$BB$158,MATCH($CW157,$L$144:$L$158,0),MATCH(DI$145,$AO$145:$BB$145,0))/INDEX(고양시_재차인원!$D$4:$H$35,MATCH("고양시",고양시_재차인원!$B$4:$B$35,0),MATCH($DF$144,고양시_재차인원!$D$4:$H$4,0))</f>
        <v>8.4775325280356615</v>
      </c>
      <c r="DJ157" s="267">
        <f>INDEX($BC$144:$BP$158,MATCH($CW157,$L$144:$L$158,0),MATCH(DJ$145,$BC$145:$BP$145,0))/INDEX(고양시_재차인원!$D$4:$H$35,MATCH("고양시",고양시_재차인원!$B$4:$B$35,0),MATCH($DJ$144,고양시_재차인원!$D$4:$H$4,0))</f>
        <v>0.19831577929594799</v>
      </c>
      <c r="DK157" s="267">
        <f>INDEX($BC$144:$BP$158,MATCH($CW157,$L$144:$L$158,0),MATCH(DK$145,$BC$145:$BP$145,0))/INDEX(고양시_재차인원!$K$4:$O$20,MATCH("경기도",고양시_재차인원!$K$4:$K$20,0),MATCH(DK$145,고양시_재차인원!$K$4:$O$4,0))</f>
        <v>1.9919550574163621E-6</v>
      </c>
      <c r="DL157" s="267">
        <f>INDEX($BC$144:$BP$158,MATCH($CW157,$L$144:$L$158,0),MATCH(DL$145,$BC$145:$BP$145,0))/INDEX(고양시_재차인원!$K$4:$O$20,MATCH("경기도",고양시_재차인원!$K$4:$K$20,0),MATCH(DL$145,고양시_재차인원!$K$4:$O$4,0))</f>
        <v>5.5376350596174871E-4</v>
      </c>
      <c r="DM157" s="267">
        <f>INDEX($BC$144:$BP$158,MATCH($CW157,$L$144:$L$158,0),MATCH(DM$145,$BC$145:$BP$145,0))/INDEX(고양시_재차인원!$D$4:$H$35,MATCH("고양시",고양시_재차인원!$B$4:$B$35,0),MATCH($DJ$144,고양시_재차인원!$D$4:$H$4,0))</f>
        <v>1.2734715149346437E-2</v>
      </c>
      <c r="DN157" s="267">
        <f>INDEX($BQ$144:$CD$158,MATCH($CW157,$L$144:$L$158,0),MATCH(DN$145,$BQ$145:$CD$145,0))/INDEX(고양시_재차인원!$D$4:$H$35,MATCH("고양시",고양시_재차인원!$B$4:$B$35,0),MATCH($DN$144,고양시_재차인원!$D$4:$H$4,0))</f>
        <v>0.80865270146777823</v>
      </c>
      <c r="DO157" s="267">
        <f>INDEX($BQ$144:$CD$158,MATCH($CW157,$L$144:$L$158,0),MATCH(DO$145,$BQ$145:$CD$145,0))/INDEX(고양시_재차인원!$K$4:$O$20,MATCH("경기도",고양시_재차인원!$K$4:$K$20,0),MATCH(DO$145,고양시_재차인원!$K$4:$O$4,0))</f>
        <v>7.525163550239566E-6</v>
      </c>
      <c r="DP157" s="267">
        <f>INDEX($BQ$144:$CD$158,MATCH($CW157,$L$144:$L$158,0),MATCH(DP$145,$BQ$145:$CD$145,0))/INDEX(고양시_재차인원!$K$4:$O$20,MATCH("경기도",고양시_재차인원!$K$4:$K$20,0),MATCH(DP$145,고양시_재차인원!$K$4:$O$4,0))</f>
        <v>2.0919954669665992E-3</v>
      </c>
      <c r="DQ157" s="267">
        <f>INDEX($BQ$144:$CD$158,MATCH($CW157,$L$144:$L$158,0),MATCH(DQ$145,$BQ$145:$CD$145,0))/INDEX(고양시_재차인원!$D$4:$H$35,MATCH("고양시",고양시_재차인원!$B$4:$B$35,0),MATCH($DN$144,고양시_재차인원!$D$4:$H$4,0))</f>
        <v>5.1927092460826919E-2</v>
      </c>
      <c r="DR157" s="270">
        <f t="shared" si="86"/>
        <v>2623.8677685755597</v>
      </c>
      <c r="DS157" s="270">
        <f t="shared" si="77"/>
        <v>2.6425275791685351E-2</v>
      </c>
      <c r="DT157" s="270">
        <f t="shared" si="78"/>
        <v>7.3462266700885275</v>
      </c>
      <c r="DU157" s="270">
        <f t="shared" si="79"/>
        <v>168.48991412073545</v>
      </c>
      <c r="DW157" s="278"/>
      <c r="DX157" s="278" t="s">
        <v>47</v>
      </c>
      <c r="DY157" s="281">
        <f t="shared" si="87"/>
        <v>2792.3576826962953</v>
      </c>
      <c r="DZ157" s="281">
        <f t="shared" si="88"/>
        <v>7.3726519458802127</v>
      </c>
      <c r="EB157" s="278"/>
      <c r="EC157" s="278" t="s">
        <v>47</v>
      </c>
      <c r="ED157" s="281">
        <f t="shared" si="89"/>
        <v>2792.3576826962953</v>
      </c>
      <c r="EE157" s="281">
        <f t="shared" si="80"/>
        <v>7.3726519458802127</v>
      </c>
      <c r="EL157" s="306" t="s">
        <v>667</v>
      </c>
      <c r="EM157" s="306" t="s">
        <v>372</v>
      </c>
      <c r="EN157" s="306">
        <v>20007.53</v>
      </c>
      <c r="EO157" s="306">
        <v>0.10773467325274116</v>
      </c>
      <c r="EP157" s="307">
        <v>849112</v>
      </c>
      <c r="EQ157" s="308">
        <f t="shared" si="90"/>
        <v>465.93203904862247</v>
      </c>
      <c r="ER157" s="308">
        <f t="shared" si="91"/>
        <v>1.2301986868038997</v>
      </c>
      <c r="ET157" s="420" t="s">
        <v>667</v>
      </c>
      <c r="EU157" s="420" t="s">
        <v>372</v>
      </c>
      <c r="EV157" s="420">
        <v>20007.53</v>
      </c>
      <c r="EW157" s="420">
        <v>0.10773467325274116</v>
      </c>
      <c r="EX157" s="421">
        <v>849112</v>
      </c>
      <c r="EY157" s="422">
        <f t="shared" si="92"/>
        <v>452.65297593573672</v>
      </c>
      <c r="EZ157" s="422">
        <f t="shared" si="81"/>
        <v>1.1951380242299885</v>
      </c>
      <c r="FA157">
        <v>0</v>
      </c>
      <c r="FD157" s="306" t="s">
        <v>667</v>
      </c>
      <c r="FE157" s="306" t="s">
        <v>372</v>
      </c>
      <c r="FF157" s="306">
        <v>20007.53</v>
      </c>
      <c r="FG157" s="306">
        <v>0.10773467325274116</v>
      </c>
      <c r="FH157" s="307">
        <v>849112</v>
      </c>
      <c r="FI157" s="308">
        <f t="shared" si="82"/>
        <v>452.65297593573672</v>
      </c>
      <c r="FJ157" s="308">
        <f t="shared" si="83"/>
        <v>1.1951380242299885</v>
      </c>
      <c r="FL157" s="101"/>
      <c r="FM157" s="101"/>
      <c r="FN157" s="101"/>
      <c r="FO157" s="101"/>
      <c r="FP157" s="374"/>
      <c r="FQ157" s="404"/>
      <c r="FR157" s="404"/>
    </row>
    <row r="158" spans="1:174">
      <c r="A158" s="205"/>
      <c r="B158" s="205" t="s">
        <v>676</v>
      </c>
      <c r="C158" s="400">
        <f>$AB73*KTDB_TripDistribution_2040!T$12 * (1+KTDB_발생량도착량_증가율!$C$7*2) * (1+KTDB_발생량도착량_증가율!$D$8*5)* (1+KTDB_발생량도착량_증가율!$E$8*5)* (1+KTDB_발생량도착량_증가율!$F$8*5)</f>
        <v>5631.6980346418186</v>
      </c>
      <c r="D158" s="400">
        <f>$AB73*KTDB_TripDistribution_2040!U$12 * (1+KTDB_발생량도착량_증가율!$C$7*2) * (1+KTDB_발생량도착량_증가율!$D$8*5)* (1+KTDB_발생량도착량_증가율!$E$8*5)* (1+KTDB_발생량도착량_증가율!$F$8*5)</f>
        <v>40757.750819073066</v>
      </c>
      <c r="E158" s="400">
        <f>$AB73*KTDB_TripDistribution_2040!V$12 * (1+KTDB_발생량도착량_증가율!$C$7*2) * (1+KTDB_발생량도착량_증가율!$D$8*5)* (1+KTDB_발생량도착량_증가율!$E$8*5)* (1+KTDB_발생량도착량_증가율!$F$8*5)</f>
        <v>2338.1712805853117</v>
      </c>
      <c r="F158" s="400">
        <f>$AB73*KTDB_TripDistribution_2040!W$12 * (1+KTDB_발생량도착량_증가율!$C$7*2) * (1+KTDB_발생량도착량_증가율!$D$8*5)* (1+KTDB_발생량도착량_증가율!$E$8*5)* (1+KTDB_발생량도착량_증가율!$F$8*5)</f>
        <v>3.6744441287354412</v>
      </c>
      <c r="G158" s="400">
        <f>$AB73*KTDB_TripDistribution_2040!X$12 * (1+KTDB_발생량도착량_증가율!$C$7*2) * (1+KTDB_발생량도착량_증가율!$D$8*5)* (1+KTDB_발생량도착량_증가율!$E$8*5)* (1+KTDB_발생량도착량_증가율!$F$8*5)</f>
        <v>13.881233375222733</v>
      </c>
      <c r="H158" s="400">
        <f>$AB73*KTDB_TripDistribution_2040!Y$12 * (1+KTDB_발생량도착량_증가율!$C$7*2) * (1+KTDB_발생량도착량_증가율!$D$8*5)* (1+KTDB_발생량도착량_증가율!$E$8*5)* (1+KTDB_발생량도착량_증가율!$F$8*5)</f>
        <v>48745.175811804162</v>
      </c>
      <c r="I158" t="b">
        <f>H158=$AB$73 * (1+KTDB_발생량도착량_증가율!$C$7*2)</f>
        <v>0</v>
      </c>
      <c r="J158" s="230">
        <f>CR158</f>
        <v>48745.175811804154</v>
      </c>
      <c r="K158" s="206"/>
      <c r="L158" s="206" t="s">
        <v>26</v>
      </c>
      <c r="M158" s="206">
        <f>INDEX($A$145:$H$158,MATCH($L158,$B$145:$B$158,0),MATCH($M$144,$A$145:$H$145,0))*고양시_Modal_split!C$3 * 0.01</f>
        <v>15.76875449699709</v>
      </c>
      <c r="N158" s="206">
        <f>INDEX($A$145:$H$158,MATCH($L158,$B$145:$B$158,0),MATCH($M$144,$A$145:$H$145,0))*고양시_Modal_split!D$3 * 0.01</f>
        <v>2648.587585692047</v>
      </c>
      <c r="O158" s="206">
        <f>INDEX($A$145:$H$158,MATCH($L158,$B$145:$B$158,0),MATCH($M$144,$A$145:$H$145,0))*고양시_Modal_split!E$3 * 0.01</f>
        <v>320.44361817111945</v>
      </c>
      <c r="P158" s="206">
        <f>INDEX($A$145:$H$158,MATCH($L158,$B$145:$B$158,0),MATCH($M$144,$A$145:$H$145,0))*고양시_Modal_split!F$3 * 0.01</f>
        <v>516.42670977665477</v>
      </c>
      <c r="Q158" s="206">
        <f>INDEX($A$145:$H$158,MATCH($L158,$B$145:$B$158,0),MATCH($M$144,$A$145:$H$145,0))*고양시_Modal_split!G$3 * 0.01</f>
        <v>51.811621918704724</v>
      </c>
      <c r="R158" s="206">
        <f>INDEX($A$145:$H$158,MATCH($L158,$B$145:$B$158,0),MATCH($M$144,$A$145:$H$145,0))*고양시_Modal_split!H$3 * 0.01</f>
        <v>0.56316980346418188</v>
      </c>
      <c r="S158" s="206">
        <f>INDEX($A$145:$H$158,MATCH($L158,$B$145:$B$158,0),MATCH($M$144,$A$145:$H$145,0))*고양시_Modal_split!I$3 * 0.01</f>
        <v>156.56120536304255</v>
      </c>
      <c r="T158" s="206">
        <f>INDEX($A$145:$H$158,MATCH($L158,$B$145:$B$158,0),MATCH($M$144,$A$145:$H$145,0))*고양시_Modal_split!J$3 * 0.01</f>
        <v>1714.2888817449698</v>
      </c>
      <c r="U158" s="206">
        <f>INDEX($A$145:$H$158,MATCH($L158,$B$145:$B$158,0),MATCH($M$144,$A$145:$H$145,0))*고양시_Modal_split!K$3 * 0.01</f>
        <v>8.4475470519627276</v>
      </c>
      <c r="V158" s="206">
        <f>INDEX($A$145:$H$158,MATCH($L158,$B$145:$B$158,0),MATCH($M$144,$A$145:$H$145,0))*고양시_Modal_split!L$3 * 0.01</f>
        <v>170.07728064618291</v>
      </c>
      <c r="W158" s="206">
        <f>INDEX($A$145:$H$158,MATCH($L158,$B$145:$B$158,0),MATCH($M$144,$A$145:$H$145,0))*고양시_Modal_split!M$3 * 0.01</f>
        <v>12.952905479676181</v>
      </c>
      <c r="X158" s="206">
        <f>INDEX($A$145:$H$158,MATCH($L158,$B$145:$B$158,0),MATCH($M$144,$A$145:$H$145,0))*고양시_Modal_split!N$3 * 0.01</f>
        <v>5.6316980346418193</v>
      </c>
      <c r="Y158" s="206">
        <f>INDEX($A$145:$H$158,MATCH($L158,$B$145:$B$158,0),MATCH($M$144,$A$145:$H$145,0))*고양시_Modal_split!O$3 * 0.01</f>
        <v>10.137056462355273</v>
      </c>
      <c r="Z158" s="209">
        <f>INDEX($A$145:$H$158,MATCH($L158,$B$145:$B$158,0),MATCH($M$144,$A$145:$H$145,0))*고양시_Modal_split!P$3 * 0.01</f>
        <v>5631.6980346418186</v>
      </c>
      <c r="AA158" s="207">
        <f>INDEX($A$145:$H$158,MATCH($L158,$B$145:$B$158,0),MATCH($AA$144,$A$145:$H$145,0))*고양시_Modal_split!C$3 * 0.01</f>
        <v>114.12170229340458</v>
      </c>
      <c r="AB158" s="207">
        <f>INDEX($A$145:$H$158,MATCH($L158,$B$145:$B$158,0),MATCH($AA$144,$A$145:$H$145,0))*고양시_Modal_split!D$3 * 0.01</f>
        <v>19168.370210210065</v>
      </c>
      <c r="AC158" s="207">
        <f>INDEX($A$145:$H$158,MATCH($L158,$B$145:$B$158,0),MATCH($AA$144,$A$145:$H$145,0))*고양시_Modal_split!E$3 * 0.01</f>
        <v>2319.1160216052572</v>
      </c>
      <c r="AD158" s="207">
        <f>INDEX($A$145:$H$158,MATCH($L158,$B$145:$B$158,0),MATCH($AA$144,$A$145:$H$145,0))*고양시_Modal_split!F$3 * 0.01</f>
        <v>3737.4857501090005</v>
      </c>
      <c r="AE158" s="207">
        <f>INDEX($A$145:$H$158,MATCH($L158,$B$145:$B$158,0),MATCH($AA$144,$A$145:$H$145,0))*고양시_Modal_split!G$3 * 0.01</f>
        <v>374.97130753547214</v>
      </c>
      <c r="AF158" s="207">
        <f>INDEX($A$145:$H$158,MATCH($L158,$B$145:$B$158,0),MATCH($AA$144,$A$145:$H$145,0))*고양시_Modal_split!H$3 * 0.01</f>
        <v>4.0757750819073069</v>
      </c>
      <c r="AG158" s="207">
        <f>INDEX($A$145:$H$158,MATCH($L158,$B$145:$B$158,0),MATCH($AA$144,$A$145:$H$145,0))*고양시_Modal_split!I$3 * 0.01</f>
        <v>1133.0654727702311</v>
      </c>
      <c r="AH158" s="207">
        <f>INDEX($A$145:$H$158,MATCH($L158,$B$145:$B$158,0),MATCH($AA$144,$A$145:$H$145,0))*고양시_Modal_split!J$3 * 0.01</f>
        <v>12406.659349325842</v>
      </c>
      <c r="AI158" s="207">
        <f>INDEX($A$145:$H$158,MATCH($L158,$B$145:$B$158,0),MATCH($AA$144,$A$145:$H$145,0))*고양시_Modal_split!K$3 * 0.01</f>
        <v>61.136626228609593</v>
      </c>
      <c r="AJ158" s="207">
        <f>INDEX($A$145:$H$158,MATCH($L158,$B$145:$B$158,0),MATCH($AA$144,$A$145:$H$145,0))*고양시_Modal_split!L$3 * 0.01</f>
        <v>1230.8840747360066</v>
      </c>
      <c r="AK158" s="207">
        <f>INDEX($A$145:$H$158,MATCH($L158,$B$145:$B$158,0),MATCH($AA$144,$A$145:$H$145,0))*고양시_Modal_split!M$3 * 0.01</f>
        <v>93.742826883868034</v>
      </c>
      <c r="AL158" s="207">
        <f>INDEX($A$145:$H$158,MATCH($L158,$B$145:$B$158,0),MATCH($AA$144,$A$145:$H$145,0))*고양시_Modal_split!N$3 * 0.01</f>
        <v>40.757750819073067</v>
      </c>
      <c r="AM158" s="207">
        <f>INDEX($A$145:$H$158,MATCH($L158,$B$145:$B$158,0),MATCH($AA$144,$A$145:$H$145,0))*고양시_Modal_split!O$3 * 0.01</f>
        <v>73.363951474331515</v>
      </c>
      <c r="AN158" s="207">
        <f>INDEX($A$145:$H$158,MATCH($L158,$B$145:$B$158,0),MATCH($AA$144,$A$145:$H$145,0))*고양시_Modal_split!P$3 * 0.01</f>
        <v>40757.750819073066</v>
      </c>
      <c r="AO158" s="303">
        <f>INDEX($A$145:$H$158,MATCH($L158,$B$145:$B$158,0),MATCH($AO$144,$A$145:$H$145,0))*고양시_Modal_split!C$3 * 0.01</f>
        <v>6.5468795856388731</v>
      </c>
      <c r="AP158" s="303">
        <f>INDEX($A$145:$H$158,MATCH($L158,$B$145:$B$158,0),MATCH($AO$144,$A$145:$H$145,0))*고양시_Modal_split!D$3 * 0.01</f>
        <v>1099.6419532592722</v>
      </c>
      <c r="AQ158" s="303">
        <f>INDEX($A$145:$H$158,MATCH($L158,$B$145:$B$158,0),MATCH($AO$144,$A$145:$H$145,0))*고양시_Modal_split!E$3 * 0.01</f>
        <v>133.04194586530423</v>
      </c>
      <c r="AR158" s="303">
        <f>INDEX($A$145:$H$158,MATCH($L158,$B$145:$B$158,0),MATCH($AO$144,$A$145:$H$145,0))*고양시_Modal_split!F$3 * 0.01</f>
        <v>214.41030642967308</v>
      </c>
      <c r="AS158" s="303">
        <f>INDEX($A$145:$H$158,MATCH($L158,$B$145:$B$158,0),MATCH($AO$144,$A$145:$H$145,0))*고양시_Modal_split!G$3 * 0.01</f>
        <v>21.511175781384868</v>
      </c>
      <c r="AT158" s="303">
        <f>INDEX($A$145:$H$158,MATCH($L158,$B$145:$B$158,0),MATCH($AO$144,$A$145:$H$145,0))*고양시_Modal_split!H$3 * 0.01</f>
        <v>0.23381712805853117</v>
      </c>
      <c r="AU158" s="303">
        <f>INDEX($A$145:$H$158,MATCH($L158,$B$145:$B$158,0),MATCH($AO$144,$A$145:$H$145,0))*고양시_Modal_split!I$3 * 0.01</f>
        <v>65.001161600271658</v>
      </c>
      <c r="AV158" s="303">
        <f>INDEX($A$145:$H$158,MATCH($L158,$B$145:$B$158,0),MATCH($AO$144,$A$145:$H$145,0))*고양시_Modal_split!J$3 * 0.01</f>
        <v>711.73933781016899</v>
      </c>
      <c r="AW158" s="303">
        <f>INDEX($A$145:$H$158,MATCH($L158,$B$145:$B$158,0),MATCH($AO$144,$A$145:$H$145,0))*고양시_Modal_split!K$3 * 0.01</f>
        <v>3.5072569208779676</v>
      </c>
      <c r="AX158" s="303">
        <f>INDEX($A$145:$H$158,MATCH($L158,$B$145:$B$158,0),MATCH($AO$144,$A$145:$H$145,0))*고양시_Modal_split!L$3 * 0.01</f>
        <v>70.612772673676417</v>
      </c>
      <c r="AY158" s="303">
        <f>INDEX($A$145:$H$158,MATCH($L158,$B$145:$B$158,0),MATCH($AO$144,$A$145:$H$145,0))*고양시_Modal_split!M$3 * 0.01</f>
        <v>5.3777939453462169</v>
      </c>
      <c r="AZ158" s="303">
        <f>INDEX($A$145:$H$158,MATCH($L158,$B$145:$B$158,0),MATCH($AO$144,$A$145:$H$145,0))*고양시_Modal_split!N$3 * 0.01</f>
        <v>2.3381712805853119</v>
      </c>
      <c r="BA158" s="207">
        <f>INDEX($A$145:$H$158,MATCH($L158,$B$145:$B$158,0),MATCH($AO$144,$A$145:$H$145,0))*고양시_Modal_split!O$3 * 0.01</f>
        <v>4.2087083050535607</v>
      </c>
      <c r="BB158" s="207">
        <f>INDEX($A$145:$H$158,MATCH($L158,$B$145:$B$158,0),MATCH($AO$144,$A$145:$H$145,0))*고양시_Modal_split!P$3 * 0.01</f>
        <v>2338.1712805853117</v>
      </c>
      <c r="BC158" s="207">
        <f>INDEX($A$145:$H$158,MATCH($L158,$B$145:$B$158,0),MATCH($BC$144,$A$145:$H$145,0))*고양시_Modal_split!C$3 * 0.01</f>
        <v>1.0288443560459236E-2</v>
      </c>
      <c r="BD158" s="207">
        <f>INDEX($A$145:$H$158,MATCH($L158,$B$145:$B$158,0),MATCH($BC$144,$A$145:$H$145,0))*고양시_Modal_split!D$3 * 0.01</f>
        <v>1.7280910737442781</v>
      </c>
      <c r="BE158" s="207">
        <f>INDEX($A$145:$H$158,MATCH($L158,$B$145:$B$158,0),MATCH($BC$144,$A$145:$H$145,0))*고양시_Modal_split!E$3 * 0.01</f>
        <v>0.20907587092504659</v>
      </c>
      <c r="BF158" s="207">
        <f>INDEX($A$145:$H$158,MATCH($L158,$B$145:$B$158,0),MATCH($BC$144,$A$145:$H$145,0))*고양시_Modal_split!F$3 * 0.01</f>
        <v>0.33694652660503999</v>
      </c>
      <c r="BG158" s="207">
        <f>INDEX($A$145:$H$158,MATCH($L158,$B$145:$B$158,0),MATCH($BC$144,$A$145:$H$145,0))*고양시_Modal_split!G$3 * 0.01</f>
        <v>3.3804885984366061E-2</v>
      </c>
      <c r="BH158" s="207">
        <f>INDEX($A$145:$H$158,MATCH($L158,$B$145:$B$158,0),MATCH($BC$144,$A$145:$H$145,0))*고양시_Modal_split!H$3 * 0.01</f>
        <v>3.6744441287354414E-4</v>
      </c>
      <c r="BI158" s="207">
        <f>INDEX($A$145:$H$158,MATCH($L158,$B$145:$B$158,0),MATCH($BC$144,$A$145:$H$145,0))*고양시_Modal_split!I$3 * 0.01</f>
        <v>0.10214954677884526</v>
      </c>
      <c r="BJ158" s="207">
        <f>INDEX($A$145:$H$158,MATCH($L158,$B$145:$B$158,0),MATCH($BC$144,$A$145:$H$145,0))*고양시_Modal_split!J$3 * 0.01</f>
        <v>1.1185007927870683</v>
      </c>
      <c r="BK158" s="207">
        <f>INDEX($A$145:$H$158,MATCH($L158,$B$145:$B$158,0),MATCH($BC$144,$A$145:$H$145,0))*고양시_Modal_split!K$3 * 0.01</f>
        <v>5.5116661931031621E-3</v>
      </c>
      <c r="BL158" s="207">
        <f>INDEX($A$145:$H$158,MATCH($L158,$B$145:$B$158,0),MATCH($BC$144,$A$145:$H$145,0))*고양시_Modal_split!L$3 * 0.01</f>
        <v>0.11096821268781033</v>
      </c>
      <c r="BM158" s="207">
        <f>INDEX($A$145:$H$158,MATCH($L158,$B$145:$B$158,0),MATCH($BC$144,$A$145:$H$145,0))*고양시_Modal_split!M$3 * 0.01</f>
        <v>8.4512214960915152E-3</v>
      </c>
      <c r="BN158" s="207">
        <f>INDEX($A$145:$H$158,MATCH($L158,$B$145:$B$158,0),MATCH($BC$144,$A$145:$H$145,0))*고양시_Modal_split!N$3 * 0.01</f>
        <v>3.6744441287354414E-3</v>
      </c>
      <c r="BO158" s="207">
        <f>INDEX($A$145:$H$158,MATCH($L158,$B$145:$B$158,0),MATCH($BC$144,$A$145:$H$145,0))*고양시_Modal_split!O$3 * 0.01</f>
        <v>6.6139994317237936E-3</v>
      </c>
      <c r="BP158" s="207">
        <f>INDEX($A$145:$H$158,MATCH($L158,$B$145:$B$158,0),MATCH($BC$144,$A$145:$H$145,0))*고양시_Modal_split!P$3 * 0.01</f>
        <v>3.6744441287354412</v>
      </c>
      <c r="BQ158" s="207">
        <f>INDEX($A$145:$H$158,MATCH($L158,$B$145:$B$158,0),MATCH($BQ$144,$A$145:$H$145,0))*고양시_Modal_split!C$3 * 0.01</f>
        <v>3.8867453450623646E-2</v>
      </c>
      <c r="BR158" s="207">
        <f>INDEX($A$145:$H$158,MATCH($L158,$B$145:$B$158,0),MATCH($BQ$144,$A$145:$H$145,0))*고양시_Modal_split!D$3 * 0.01</f>
        <v>6.5283440563672519</v>
      </c>
      <c r="BS158" s="207">
        <f>INDEX($A$145:$H$158,MATCH($L158,$B$145:$B$158,0),MATCH($BQ$144,$A$145:$H$145,0))*고양시_Modal_split!E$3 * 0.01</f>
        <v>0.78984217905017351</v>
      </c>
      <c r="BT158" s="207">
        <f>INDEX($A$145:$H$158,MATCH($L158,$B$145:$B$158,0),MATCH($BQ$144,$A$145:$H$145,0))*고양시_Modal_split!F$3 * 0.01</f>
        <v>1.2729091005079247</v>
      </c>
      <c r="BU158" s="207">
        <f>INDEX($A$145:$H$158,MATCH($L158,$B$145:$B$158,0),MATCH($BQ$144,$A$145:$H$145,0))*고양시_Modal_split!G$3 * 0.01</f>
        <v>0.12770734705204914</v>
      </c>
      <c r="BV158" s="207">
        <f>INDEX($A$145:$H$158,MATCH($L158,$B$145:$B$158,0),MATCH($BQ$144,$A$145:$H$145,0))*고양시_Modal_split!H$3 * 0.01</f>
        <v>1.3881233375222732E-3</v>
      </c>
      <c r="BW158" s="207">
        <f>INDEX($A$145:$H$158,MATCH($L158,$B$145:$B$158,0),MATCH($BQ$144,$A$145:$H$145,0))*고양시_Modal_split!I$3 * 0.01</f>
        <v>0.38589828783119196</v>
      </c>
      <c r="BX158" s="207">
        <f>INDEX($A$145:$H$158,MATCH($L158,$B$145:$B$158,0),MATCH($BQ$144,$A$145:$H$145,0))*고양시_Modal_split!J$3 * 0.01</f>
        <v>4.2254474394177999</v>
      </c>
      <c r="BY158" s="207">
        <f>INDEX($A$145:$H$158,MATCH($L158,$B$145:$B$158,0),MATCH($BQ$144,$A$145:$H$145,0))*고양시_Modal_split!K$3 * 0.01</f>
        <v>2.0821850062834098E-2</v>
      </c>
      <c r="BZ158" s="207">
        <f>INDEX($A$145:$H$158,MATCH($L158,$B$145:$B$158,0),MATCH($BQ$144,$A$145:$H$145,0))*고양시_Modal_split!L$3 * 0.01</f>
        <v>0.41921324793172654</v>
      </c>
      <c r="CA158" s="207">
        <f>INDEX($A$145:$H$158,MATCH($L158,$B$145:$B$158,0),MATCH($BQ$144,$A$145:$H$145,0))*고양시_Modal_split!M$3 * 0.01</f>
        <v>3.1926836763012285E-2</v>
      </c>
      <c r="CB158" s="207">
        <f>INDEX($A$145:$H$158,MATCH($L158,$B$145:$B$158,0),MATCH($BQ$144,$A$145:$H$145,0))*고양시_Modal_split!N$3 * 0.01</f>
        <v>1.3881233375222735E-2</v>
      </c>
      <c r="CC158" s="207">
        <f>INDEX($A$145:$H$158,MATCH($L158,$B$145:$B$158,0),MATCH($BQ$144,$A$145:$H$145,0))*고양시_Modal_split!O$3 * 0.01</f>
        <v>2.4986220075400918E-2</v>
      </c>
      <c r="CD158" s="207">
        <f>INDEX($A$145:$H$158,MATCH($L158,$B$145:$B$158,0),MATCH($BQ$144,$A$145:$H$145,0))*고양시_Modal_split!P$3 * 0.01</f>
        <v>13.881233375222733</v>
      </c>
      <c r="CE158" s="304">
        <f t="shared" si="84"/>
        <v>136.48649227305162</v>
      </c>
      <c r="CF158" s="304">
        <f t="shared" si="64"/>
        <v>22924.856184291497</v>
      </c>
      <c r="CG158" s="304">
        <f t="shared" si="65"/>
        <v>2773.6005036916558</v>
      </c>
      <c r="CH158" s="304">
        <f t="shared" si="66"/>
        <v>4469.9326219424411</v>
      </c>
      <c r="CI158" s="304">
        <f t="shared" si="67"/>
        <v>448.45561746859806</v>
      </c>
      <c r="CJ158" s="304">
        <f t="shared" si="68"/>
        <v>4.8745175811804149</v>
      </c>
      <c r="CK158" s="304">
        <f t="shared" si="69"/>
        <v>1355.1158875681554</v>
      </c>
      <c r="CL158" s="304">
        <f t="shared" si="70"/>
        <v>14838.031517113186</v>
      </c>
      <c r="CM158" s="304">
        <f t="shared" si="71"/>
        <v>73.117763717706211</v>
      </c>
      <c r="CN158" s="304">
        <f t="shared" si="72"/>
        <v>1472.1043095164855</v>
      </c>
      <c r="CO158" s="304">
        <f t="shared" si="73"/>
        <v>112.11390436714952</v>
      </c>
      <c r="CP158" s="304">
        <f t="shared" si="74"/>
        <v>48.74517581180416</v>
      </c>
      <c r="CQ158" s="304">
        <f t="shared" si="75"/>
        <v>87.741316461247479</v>
      </c>
      <c r="CR158" s="304">
        <f t="shared" si="76"/>
        <v>48745.175811804154</v>
      </c>
      <c r="CS158" s="305">
        <f t="shared" si="85"/>
        <v>0</v>
      </c>
      <c r="CV158" s="267"/>
      <c r="CW158" s="267" t="s">
        <v>26</v>
      </c>
      <c r="CX158" s="267">
        <f>INDEX($M$144:$Z$158,MATCH($CW158,$L$144:$L$158,0),MATCH(CX$145,$M$145:$Z$145,0))/INDEX(고양시_재차인원!$D$4:$H$35,MATCH("고양시",고양시_재차인원!$B$4:$B$35,0),MATCH($CX$144,고양시_재차인원!$D$4:$H$4,0))</f>
        <v>2364.8103443678988</v>
      </c>
      <c r="CY158" s="267">
        <f>INDEX($M$144:$Z$158,MATCH($CW158,$L$144:$L$158,0),MATCH(CY$145,$M$145:$Z$145,0))/INDEX(고양시_재차인원!$K$4:$O$20,MATCH("경기도",고양시_재차인원!$K$4:$K$20,0),MATCH(CY$145,고양시_재차인원!$K$4:$O$4,0))</f>
        <v>1.9561299182500241E-2</v>
      </c>
      <c r="CZ158" s="267">
        <f>INDEX($M$144:$Z$158,MATCH($CW158,$L$144:$L$158,0),MATCH(CZ$145,$M$145:$Z$145,0))/INDEX(고양시_재차인원!$K$4:$O$20,MATCH("경기도",고양시_재차인원!$K$4:$K$20,0),MATCH(CZ$145,고양시_재차인원!$K$4:$O$4,0))</f>
        <v>5.4380411727350664</v>
      </c>
      <c r="DA158" s="267">
        <f>INDEX($M$144:$Z$158,MATCH($CW158,$L$144:$L$158,0),MATCH(DA$145,$M$145:$Z$145,0))/INDEX(고양시_재차인원!$D$4:$H$35,MATCH("고양시",고양시_재차인원!$B$4:$B$35,0),MATCH($CX$144,고양시_재차인원!$D$4:$H$4,0))</f>
        <v>151.85471486266331</v>
      </c>
      <c r="DB158" s="267">
        <f>INDEX($AA$144:$AN$158,MATCH($CW158,$L$144:$L$158,0),MATCH(DB$145,$AA$145:$AN$145,0))/INDEX(고양시_재차인원!$D$4:$H$35,MATCH("고양시",고양시_재차인원!$B$4:$B$35,0),MATCH($DB$144,고양시_재차인원!$D$4:$H$4,0))</f>
        <v>13594.588801567423</v>
      </c>
      <c r="DC158" s="267">
        <f>INDEX($AA$144:$AN$158,MATCH($CW158,$L$144:$L$158,0),MATCH(DC$145,$AA$145:$AN$145,0))/INDEX(고양시_재차인원!$K$4:$O$20,MATCH("경기도",고양시_재차인원!$K$4:$K$20,0),MATCH(DC$145,고양시_재차인원!$K$4:$O$4,0))</f>
        <v>0.1415691240676383</v>
      </c>
      <c r="DD158" s="267">
        <f>INDEX($AA$144:$AN$158,MATCH($CW158,$L$144:$L$158,0),MATCH(DD$145,$AA$145:$AN$145,0))/INDEX(고양시_재차인원!$K$4:$O$20,MATCH("경기도",고양시_재차인원!$K$4:$K$20,0),MATCH(DD$145,고양시_재차인원!$K$4:$O$4,0))</f>
        <v>39.35621649080344</v>
      </c>
      <c r="DE158" s="267">
        <f>INDEX($AA$144:$AN$158,MATCH($CW158,$L$144:$L$158,0),MATCH(DE$145,$AA$145:$AN$145,0))/INDEX(고양시_재차인원!$D$4:$H$35,MATCH("고양시",고양시_재차인원!$B$4:$B$35,0),MATCH($DB$144,고양시_재차인원!$D$4:$H$4,0))</f>
        <v>872.96742889078484</v>
      </c>
      <c r="DF158" s="267">
        <f>INDEX($AO$144:$BB$158,MATCH($CW158,$L$144:$L$158,0),MATCH(DF$145,$AO$145:$BB$145,0))/INDEX(고양시_재차인원!$D$4:$H$35,MATCH("고양시",고양시_재차인원!$B$4:$B$35,0),MATCH($DF$144,고양시_재차인원!$D$4:$H$4,0))</f>
        <v>845.87842558405555</v>
      </c>
      <c r="DG158" s="267">
        <f>INDEX($AO$144:$BB$158,MATCH($CW158,$L$144:$L$158,0),MATCH(DG$145,$AO$145:$BB$145,0))/INDEX(고양시_재차인원!$K$4:$O$20,MATCH("경기도",고양시_재차인원!$K$4:$K$20,0),MATCH(DG$145,고양시_재차인원!$K$4:$O$4,0))</f>
        <v>8.1214702347527333E-3</v>
      </c>
      <c r="DH158" s="267">
        <f>INDEX($AO$144:$BB$158,MATCH($CW158,$L$144:$L$158,0),MATCH(DH$145,$AO$145:$BB$145,0))/INDEX(고양시_재차인원!$K$4:$O$20,MATCH("경기도",고양시_재차인원!$K$4:$K$20,0),MATCH(DH$145,고양시_재차인원!$K$4:$O$4,0))</f>
        <v>2.2577687252612595</v>
      </c>
      <c r="DI158" s="267">
        <f>INDEX($AO$144:$BB$158,MATCH($CW158,$L$144:$L$158,0),MATCH(DI$145,$AO$145:$BB$145,0))/INDEX(고양시_재차인원!$D$4:$H$35,MATCH("고양시",고양시_재차인원!$B$4:$B$35,0),MATCH($DF$144,고양시_재차인원!$D$4:$H$4,0))</f>
        <v>54.317517441289553</v>
      </c>
      <c r="DJ158" s="267">
        <f>INDEX($BC$144:$BP$158,MATCH($CW158,$L$144:$L$158,0),MATCH(DJ$145,$BC$145:$BP$145,0))/INDEX(고양시_재차인원!$D$4:$H$35,MATCH("고양시",고양시_재차인원!$B$4:$B$35,0),MATCH($DJ$144,고양시_재차인원!$D$4:$H$4,0))</f>
        <v>1.2706552012825574</v>
      </c>
      <c r="DK158" s="267">
        <f>INDEX($BC$144:$BP$158,MATCH($CW158,$L$144:$L$158,0),MATCH(DK$145,$BC$145:$BP$145,0))/INDEX(고양시_재차인원!$K$4:$O$20,MATCH("경기도",고양시_재차인원!$K$4:$K$20,0),MATCH(DK$145,고양시_재차인원!$K$4:$O$4,0))</f>
        <v>1.2762918126903235E-5</v>
      </c>
      <c r="DL158" s="267">
        <f>INDEX($BC$144:$BP$158,MATCH($CW158,$L$144:$L$158,0),MATCH(DL$145,$BC$145:$BP$145,0))/INDEX(고양시_재차인원!$K$4:$O$20,MATCH("경기도",고양시_재차인원!$K$4:$K$20,0),MATCH(DL$145,고양시_재차인원!$K$4:$O$4,0))</f>
        <v>3.5480912392790989E-3</v>
      </c>
      <c r="DM158" s="267">
        <f>INDEX($BC$144:$BP$158,MATCH($CW158,$L$144:$L$158,0),MATCH(DM$145,$BC$145:$BP$145,0))/INDEX(고양시_재차인원!$D$4:$H$35,MATCH("고양시",고양시_재차인원!$B$4:$B$35,0),MATCH($DJ$144,고양시_재차인원!$D$4:$H$4,0))</f>
        <v>8.1594274035154651E-2</v>
      </c>
      <c r="DN158" s="267">
        <f>INDEX($BQ$144:$CD$158,MATCH($CW158,$L$144:$L$158,0),MATCH(DN$145,$BQ$145:$CD$145,0))/INDEX(고양시_재차인원!$D$4:$H$35,MATCH("고양시",고양시_재차인원!$B$4:$B$35,0),MATCH($DN$144,고양시_재차인원!$D$4:$H$4,0))</f>
        <v>5.1812254415613106</v>
      </c>
      <c r="DO158" s="267">
        <f>INDEX($BQ$144:$CD$158,MATCH($CW158,$L$144:$L$158,0),MATCH(DO$145,$BQ$145:$CD$145,0))/INDEX(고양시_재차인원!$K$4:$O$20,MATCH("경기도",고양시_재차인원!$K$4:$K$20,0),MATCH(DO$145,고양시_재차인원!$K$4:$O$4,0))</f>
        <v>4.8215468479412061E-5</v>
      </c>
      <c r="DP158" s="267">
        <f>INDEX($BQ$144:$CD$158,MATCH($CW158,$L$144:$L$158,0),MATCH(DP$145,$BQ$145:$CD$145,0))/INDEX(고양시_재차인원!$K$4:$O$20,MATCH("경기도",고양시_재차인원!$K$4:$K$20,0),MATCH(DP$145,고양시_재차인원!$K$4:$O$4,0))</f>
        <v>1.3403900237276552E-2</v>
      </c>
      <c r="DQ158" s="267">
        <f>INDEX($BQ$144:$CD$158,MATCH($CW158,$L$144:$L$158,0),MATCH(DQ$145,$BQ$145:$CD$145,0))/INDEX(고양시_재차인원!$D$4:$H$35,MATCH("고양시",고양시_재차인원!$B$4:$B$35,0),MATCH($DN$144,고양시_재차인원!$D$4:$H$4,0))</f>
        <v>0.3327089269299417</v>
      </c>
      <c r="DR158" s="270">
        <f t="shared" si="86"/>
        <v>16811.729452162221</v>
      </c>
      <c r="DS158" s="270">
        <f t="shared" si="77"/>
        <v>0.1693128718714976</v>
      </c>
      <c r="DT158" s="270">
        <f t="shared" si="78"/>
        <v>47.068978380276327</v>
      </c>
      <c r="DU158" s="270">
        <f t="shared" si="79"/>
        <v>1079.5539643957027</v>
      </c>
      <c r="DW158" s="278"/>
      <c r="DX158" s="278" t="s">
        <v>26</v>
      </c>
      <c r="DY158" s="281">
        <f t="shared" si="87"/>
        <v>17891.283416557922</v>
      </c>
      <c r="DZ158" s="281">
        <f t="shared" si="88"/>
        <v>47.238291252147825</v>
      </c>
      <c r="EC158" s="278" t="s">
        <v>26</v>
      </c>
      <c r="ED158" s="281">
        <f t="shared" si="89"/>
        <v>17891.283416557922</v>
      </c>
      <c r="EE158" s="281">
        <f t="shared" si="80"/>
        <v>47.238291252147825</v>
      </c>
      <c r="EL158" s="322" t="s">
        <v>681</v>
      </c>
      <c r="EM158" s="322" t="s">
        <v>373</v>
      </c>
      <c r="EN158" s="322">
        <v>39402.4712</v>
      </c>
      <c r="EO158" s="322">
        <v>0.21217073572212786</v>
      </c>
      <c r="EP158" s="477">
        <v>849113</v>
      </c>
      <c r="EQ158" s="324">
        <f t="shared" ref="EQ158" si="93">VLOOKUP($EL158,$EC$102:$EE$114,2,FALSE)*$EO158</f>
        <v>915.47017103981943</v>
      </c>
      <c r="ER158" s="324">
        <f t="shared" ref="ER158" si="94">VLOOKUP($EL158,$EC$102:$EE$114,3,FALSE)*$EO158</f>
        <v>2.4227312580347737</v>
      </c>
      <c r="ET158" s="420" t="s">
        <v>681</v>
      </c>
      <c r="EU158" s="420" t="s">
        <v>373</v>
      </c>
      <c r="EV158" s="412"/>
      <c r="EW158" s="412"/>
      <c r="EX158" s="421">
        <v>849113</v>
      </c>
      <c r="EY158" s="423">
        <f t="shared" si="92"/>
        <v>889.3792711651846</v>
      </c>
      <c r="EZ158" s="423">
        <f t="shared" si="81"/>
        <v>2.3536834171807826</v>
      </c>
      <c r="FA158">
        <v>0</v>
      </c>
      <c r="FD158" s="322" t="s">
        <v>370</v>
      </c>
      <c r="FE158" s="322" t="s">
        <v>373</v>
      </c>
      <c r="FF158" s="75"/>
      <c r="FG158" s="75"/>
      <c r="FH158" s="323">
        <v>849113</v>
      </c>
      <c r="FI158" s="327">
        <f t="shared" si="82"/>
        <v>889.3792711651846</v>
      </c>
      <c r="FJ158" s="327">
        <f t="shared" si="83"/>
        <v>2.3536834171807826</v>
      </c>
      <c r="FL158" s="101"/>
      <c r="FM158" s="101"/>
      <c r="FN158" s="34"/>
      <c r="FO158" s="34"/>
      <c r="FP158" s="374"/>
      <c r="FQ158" s="405"/>
      <c r="FR158" s="405"/>
    </row>
    <row r="159" spans="1:174">
      <c r="ED159" s="230" t="b">
        <f>SUM(ED146:ED157)=ED158</f>
        <v>1</v>
      </c>
      <c r="EE159" s="230" t="b">
        <f>SUM(EE146:EE157)=EE158</f>
        <v>1</v>
      </c>
      <c r="EL159" s="75" t="s">
        <v>669</v>
      </c>
      <c r="EM159" s="325" t="s">
        <v>682</v>
      </c>
      <c r="EN159" s="75">
        <v>39402.4712</v>
      </c>
      <c r="EO159" s="75">
        <v>0.19507846659237171</v>
      </c>
      <c r="EP159" s="478"/>
      <c r="EQ159" s="324">
        <f>VLOOKUP($EL159,$EC$102:$EE$114,2,FALSE)*$EO159</f>
        <v>632.69556803841022</v>
      </c>
      <c r="ER159" s="324">
        <f>VLOOKUP($EL159,$EC$102:$EE$114,3,FALSE)*$EO159</f>
        <v>1.6743869740350601</v>
      </c>
      <c r="ET159" s="420" t="s">
        <v>669</v>
      </c>
      <c r="EU159" s="420" t="s">
        <v>569</v>
      </c>
      <c r="EV159" s="420">
        <v>70189.171300000002</v>
      </c>
      <c r="EW159" s="420">
        <v>0.34750094325538916</v>
      </c>
      <c r="EX159" s="421">
        <v>849114</v>
      </c>
      <c r="EY159" s="423">
        <f t="shared" si="92"/>
        <v>614.66374434931549</v>
      </c>
      <c r="EZ159" s="423">
        <f t="shared" si="81"/>
        <v>1.6266669452750608</v>
      </c>
      <c r="FA159">
        <v>0</v>
      </c>
      <c r="FD159" s="306" t="s">
        <v>669</v>
      </c>
      <c r="FE159" s="306" t="s">
        <v>569</v>
      </c>
      <c r="FF159" s="306">
        <v>70189.171300000002</v>
      </c>
      <c r="FG159" s="306">
        <v>0.34750094325538916</v>
      </c>
      <c r="FH159" s="307">
        <v>849114</v>
      </c>
      <c r="FI159" s="326">
        <f t="shared" si="82"/>
        <v>614.66374434931549</v>
      </c>
      <c r="FJ159" s="326">
        <f t="shared" si="83"/>
        <v>1.6266669452750608</v>
      </c>
      <c r="FL159" s="101"/>
      <c r="FM159" s="101"/>
      <c r="FN159" s="101"/>
      <c r="FO159" s="101"/>
      <c r="FP159" s="374"/>
      <c r="FQ159" s="405"/>
      <c r="FR159" s="405"/>
    </row>
    <row r="160" spans="1:174">
      <c r="EL160" s="306" t="s">
        <v>669</v>
      </c>
      <c r="EM160" s="306" t="s">
        <v>569</v>
      </c>
      <c r="EN160" s="306">
        <v>70189.171300000002</v>
      </c>
      <c r="EO160" s="306">
        <v>0.34750094325538916</v>
      </c>
      <c r="EP160" s="308">
        <v>849114</v>
      </c>
      <c r="EQ160" s="308">
        <f>VLOOKUP($EL160,$EC$145:$EE$157,2,FALSE)*$EO160</f>
        <v>1129.6653482438619</v>
      </c>
      <c r="ER160" s="308">
        <f>VLOOKUP($EL160,$EC$145:$EE$157,3,FALSE)*$EO160</f>
        <v>2.9826513557107948</v>
      </c>
      <c r="ET160" s="420" t="s">
        <v>669</v>
      </c>
      <c r="EU160" s="420" t="s">
        <v>79</v>
      </c>
      <c r="EV160" s="420">
        <v>51949.691800000001</v>
      </c>
      <c r="EW160" s="420">
        <v>0.2571987468717522</v>
      </c>
      <c r="EX160" s="421">
        <v>849115</v>
      </c>
      <c r="EY160" s="423">
        <f t="shared" si="92"/>
        <v>1097.469885818912</v>
      </c>
      <c r="EZ160" s="423">
        <f t="shared" si="81"/>
        <v>2.8976457920730372</v>
      </c>
      <c r="FA160">
        <v>0</v>
      </c>
      <c r="FD160" s="306" t="s">
        <v>669</v>
      </c>
      <c r="FE160" s="306" t="s">
        <v>79</v>
      </c>
      <c r="FF160" s="306">
        <v>51949.691800000001</v>
      </c>
      <c r="FG160" s="306">
        <v>0.2571987468717522</v>
      </c>
      <c r="FH160" s="307">
        <v>849115</v>
      </c>
      <c r="FI160" s="326">
        <f t="shared" si="82"/>
        <v>1097.469885818912</v>
      </c>
      <c r="FJ160" s="326">
        <f t="shared" si="83"/>
        <v>2.8976457920730372</v>
      </c>
      <c r="FL160" s="101"/>
      <c r="FM160" s="101"/>
      <c r="FN160" s="101"/>
      <c r="FO160" s="101"/>
      <c r="FP160" s="374"/>
      <c r="FQ160" s="405"/>
      <c r="FR160" s="405"/>
    </row>
    <row r="161" spans="142:174">
      <c r="EL161" s="306" t="s">
        <v>669</v>
      </c>
      <c r="EM161" s="306" t="s">
        <v>79</v>
      </c>
      <c r="EN161" s="306">
        <v>51949.691800000001</v>
      </c>
      <c r="EO161" s="306">
        <v>0.2571987468717522</v>
      </c>
      <c r="EP161" s="308">
        <v>849115</v>
      </c>
      <c r="EQ161" s="308">
        <f>VLOOKUP($EL161,$EC$145:$EE$157,2,FALSE)*$EO161</f>
        <v>836.10855622693884</v>
      </c>
      <c r="ER161" s="308">
        <f>VLOOKUP($EL161,$EC$145:$EE$157,3,FALSE)*$EO161</f>
        <v>2.2075744136336306</v>
      </c>
      <c r="ET161" s="420" t="s">
        <v>669</v>
      </c>
      <c r="EU161" s="420" t="s">
        <v>223</v>
      </c>
      <c r="EV161" s="420">
        <v>40441.3442</v>
      </c>
      <c r="EW161" s="420">
        <v>0.20022184328048706</v>
      </c>
      <c r="EX161" s="421">
        <v>849116</v>
      </c>
      <c r="EY161" s="423">
        <f t="shared" si="92"/>
        <v>812.27946237447111</v>
      </c>
      <c r="EZ161" s="423">
        <f t="shared" si="81"/>
        <v>2.1446585428450722</v>
      </c>
      <c r="FA161">
        <v>0</v>
      </c>
      <c r="FD161" s="306" t="s">
        <v>669</v>
      </c>
      <c r="FE161" s="306" t="s">
        <v>223</v>
      </c>
      <c r="FF161" s="306">
        <v>40441.3442</v>
      </c>
      <c r="FG161" s="306">
        <v>0.20022184328048706</v>
      </c>
      <c r="FH161" s="307">
        <v>849116</v>
      </c>
      <c r="FI161" s="326">
        <f t="shared" si="82"/>
        <v>812.27946237447111</v>
      </c>
      <c r="FJ161" s="326">
        <f t="shared" si="83"/>
        <v>2.1446585428450722</v>
      </c>
      <c r="FL161" s="101"/>
      <c r="FM161" s="101"/>
      <c r="FN161" s="101"/>
      <c r="FO161" s="101"/>
      <c r="FP161" s="374"/>
      <c r="FQ161" s="405"/>
      <c r="FR161" s="405"/>
    </row>
    <row r="162" spans="142:174">
      <c r="EL162" s="306" t="s">
        <v>669</v>
      </c>
      <c r="EM162" s="306" t="s">
        <v>223</v>
      </c>
      <c r="EN162" s="306">
        <v>40441.3442</v>
      </c>
      <c r="EO162" s="306">
        <v>0.20022184328048706</v>
      </c>
      <c r="EP162" s="308">
        <v>849116</v>
      </c>
      <c r="EQ162" s="308">
        <f>VLOOKUP($EL162,$EC$145:$EE$157,2,FALSE)*$EO162</f>
        <v>650.88651615328126</v>
      </c>
      <c r="ER162" s="308">
        <f>VLOOKUP($EL162,$EC$145:$EE$157,3,FALSE)*$EO162</f>
        <v>1.7185333274464358</v>
      </c>
      <c r="ET162" s="420" t="s">
        <v>670</v>
      </c>
      <c r="EU162" s="420" t="s">
        <v>570</v>
      </c>
      <c r="EV162" s="420">
        <v>53247.161800000002</v>
      </c>
      <c r="EW162" s="420">
        <v>1</v>
      </c>
      <c r="EX162" s="421">
        <v>849117</v>
      </c>
      <c r="EY162" s="423">
        <f t="shared" si="92"/>
        <v>632.33625044291273</v>
      </c>
      <c r="EZ162" s="423">
        <f t="shared" si="81"/>
        <v>1.6695551276142124</v>
      </c>
      <c r="FA162">
        <v>0</v>
      </c>
      <c r="FD162" s="322" t="s">
        <v>670</v>
      </c>
      <c r="FE162" s="322" t="s">
        <v>570</v>
      </c>
      <c r="FF162" s="322">
        <v>53247.161800000002</v>
      </c>
      <c r="FG162" s="322">
        <v>1</v>
      </c>
      <c r="FH162" s="323">
        <v>849117</v>
      </c>
      <c r="FI162" s="327">
        <f t="shared" si="82"/>
        <v>632.33625044291273</v>
      </c>
      <c r="FJ162" s="327">
        <f t="shared" si="83"/>
        <v>1.6695551276142124</v>
      </c>
      <c r="FL162" s="101"/>
      <c r="FM162" s="101"/>
      <c r="FN162" s="101"/>
      <c r="FO162" s="101"/>
      <c r="FP162" s="374"/>
      <c r="FQ162" s="405"/>
      <c r="FR162" s="405"/>
    </row>
    <row r="163" spans="142:174">
      <c r="EL163" s="322" t="s">
        <v>670</v>
      </c>
      <c r="EM163" s="322" t="s">
        <v>570</v>
      </c>
      <c r="EN163" s="322">
        <v>53247.161800000002</v>
      </c>
      <c r="EO163" s="322">
        <v>1</v>
      </c>
      <c r="EP163" s="323">
        <v>849117</v>
      </c>
      <c r="EQ163" s="324">
        <f>ED150+ED149</f>
        <v>1437.6292105789112</v>
      </c>
      <c r="ER163" s="324">
        <f>EE150+EE149</f>
        <v>3.7957672337285739</v>
      </c>
      <c r="ET163" s="420" t="s">
        <v>13</v>
      </c>
      <c r="EU163" s="420" t="s">
        <v>575</v>
      </c>
      <c r="EV163" s="420">
        <v>8507.8255000000008</v>
      </c>
      <c r="EW163" s="420">
        <v>0.38150552170840318</v>
      </c>
      <c r="EX163" s="421">
        <v>849118</v>
      </c>
      <c r="EY163" s="423">
        <f t="shared" si="92"/>
        <v>1396.6567780774124</v>
      </c>
      <c r="EZ163" s="423">
        <f t="shared" si="81"/>
        <v>3.6875878675673097</v>
      </c>
      <c r="FA163">
        <v>0</v>
      </c>
      <c r="FD163" s="306" t="s">
        <v>13</v>
      </c>
      <c r="FE163" s="306" t="s">
        <v>575</v>
      </c>
      <c r="FF163" s="306">
        <v>8507.8255000000008</v>
      </c>
      <c r="FG163" s="306">
        <v>0.38150552170840318</v>
      </c>
      <c r="FH163" s="307">
        <v>849118</v>
      </c>
      <c r="FI163" s="326">
        <f t="shared" si="82"/>
        <v>1396.6567780774124</v>
      </c>
      <c r="FJ163" s="326">
        <f t="shared" si="83"/>
        <v>3.6875878675673097</v>
      </c>
      <c r="FL163" s="101"/>
      <c r="FM163" s="101"/>
      <c r="FN163" s="101"/>
      <c r="FO163" s="101"/>
      <c r="FP163" s="374"/>
      <c r="FQ163" s="405"/>
      <c r="FR163" s="405"/>
    </row>
    <row r="164" spans="142:174">
      <c r="EL164" s="306" t="s">
        <v>13</v>
      </c>
      <c r="EM164" s="306" t="s">
        <v>575</v>
      </c>
      <c r="EN164" s="306">
        <v>8507.8255000000008</v>
      </c>
      <c r="EO164" s="306">
        <v>0.38150552170840318</v>
      </c>
      <c r="EP164" s="308">
        <v>849118</v>
      </c>
      <c r="EQ164" s="308">
        <f t="shared" ref="EQ164:EQ180" si="95">VLOOKUP($EL164,$EC$145:$EE$157,2,FALSE)*$EO164</f>
        <v>116.48719023019784</v>
      </c>
      <c r="ER164" s="308">
        <f t="shared" ref="ER164:ER180" si="96">VLOOKUP($EL164,$EC$145:$EE$157,3,FALSE)*$EO164</f>
        <v>0.30756070937571006</v>
      </c>
      <c r="ET164" s="420" t="s">
        <v>13</v>
      </c>
      <c r="EU164" s="420" t="s">
        <v>576</v>
      </c>
      <c r="EV164" s="420">
        <v>5790.3404</v>
      </c>
      <c r="EW164" s="420">
        <v>0.25964881804066664</v>
      </c>
      <c r="EX164" s="421">
        <v>849119</v>
      </c>
      <c r="EY164" s="423">
        <f t="shared" si="92"/>
        <v>113.16730530863721</v>
      </c>
      <c r="EZ164" s="423">
        <f t="shared" si="81"/>
        <v>0.29879522915850232</v>
      </c>
      <c r="FA164">
        <v>0</v>
      </c>
      <c r="FD164" s="306" t="s">
        <v>13</v>
      </c>
      <c r="FE164" s="306" t="s">
        <v>576</v>
      </c>
      <c r="FF164" s="306">
        <v>5790.3404</v>
      </c>
      <c r="FG164" s="306">
        <v>0.25964881804066664</v>
      </c>
      <c r="FH164" s="307">
        <v>849119</v>
      </c>
      <c r="FI164" s="326">
        <f t="shared" si="82"/>
        <v>113.16730530863721</v>
      </c>
      <c r="FJ164" s="326">
        <f t="shared" si="83"/>
        <v>0.29879522915850232</v>
      </c>
      <c r="FL164" s="101"/>
      <c r="FM164" s="101"/>
      <c r="FN164" s="101"/>
      <c r="FO164" s="101"/>
      <c r="FP164" s="374"/>
      <c r="FQ164" s="405"/>
      <c r="FR164" s="405"/>
    </row>
    <row r="165" spans="142:174">
      <c r="EL165" s="306" t="s">
        <v>13</v>
      </c>
      <c r="EM165" s="306" t="s">
        <v>576</v>
      </c>
      <c r="EN165" s="306">
        <v>5790.3404</v>
      </c>
      <c r="EO165" s="306">
        <v>0.25964881804066664</v>
      </c>
      <c r="EP165" s="308">
        <v>849119</v>
      </c>
      <c r="EQ165" s="308">
        <f t="shared" si="95"/>
        <v>79.280009171838302</v>
      </c>
      <c r="ER165" s="308">
        <f t="shared" si="96"/>
        <v>0.20932272305665328</v>
      </c>
      <c r="ET165" s="420" t="s">
        <v>13</v>
      </c>
      <c r="EU165" s="420" t="s">
        <v>382</v>
      </c>
      <c r="EV165" s="420">
        <v>1771.3566000000001</v>
      </c>
      <c r="EW165" s="420">
        <v>7.943067518423165E-2</v>
      </c>
      <c r="EX165" s="421">
        <v>849120</v>
      </c>
      <c r="EY165" s="423">
        <f t="shared" si="92"/>
        <v>77.020528910440916</v>
      </c>
      <c r="EZ165" s="423">
        <f t="shared" si="81"/>
        <v>0.20335702544953868</v>
      </c>
      <c r="FA165">
        <v>0</v>
      </c>
      <c r="FD165" s="306" t="s">
        <v>13</v>
      </c>
      <c r="FE165" s="306" t="s">
        <v>382</v>
      </c>
      <c r="FF165" s="306">
        <v>1771.3566000000001</v>
      </c>
      <c r="FG165" s="306">
        <v>7.943067518423165E-2</v>
      </c>
      <c r="FH165" s="307">
        <v>849120</v>
      </c>
      <c r="FI165" s="326">
        <f t="shared" si="82"/>
        <v>77.020528910440916</v>
      </c>
      <c r="FJ165" s="326">
        <f t="shared" si="83"/>
        <v>0.20335702544953868</v>
      </c>
      <c r="FL165" s="101"/>
      <c r="FM165" s="101"/>
      <c r="FN165" s="101"/>
      <c r="FO165" s="101"/>
      <c r="FP165" s="374"/>
      <c r="FQ165" s="405"/>
      <c r="FR165" s="405"/>
    </row>
    <row r="166" spans="142:174">
      <c r="EL166" s="306" t="s">
        <v>13</v>
      </c>
      <c r="EM166" s="306" t="s">
        <v>382</v>
      </c>
      <c r="EN166" s="306">
        <v>1771.3566000000001</v>
      </c>
      <c r="EO166" s="306">
        <v>7.943067518423165E-2</v>
      </c>
      <c r="EP166" s="308">
        <v>849120</v>
      </c>
      <c r="EQ166" s="308">
        <f t="shared" si="95"/>
        <v>24.253007214324793</v>
      </c>
      <c r="ER166" s="308">
        <f t="shared" si="96"/>
        <v>6.4035127713109055E-2</v>
      </c>
      <c r="ET166" s="420" t="s">
        <v>13</v>
      </c>
      <c r="EU166" s="420" t="s">
        <v>383</v>
      </c>
      <c r="EV166" s="420">
        <v>6231.1390000000001</v>
      </c>
      <c r="EW166" s="420">
        <v>0.2794149850666986</v>
      </c>
      <c r="EX166" s="421">
        <v>849121</v>
      </c>
      <c r="EY166" s="423">
        <f t="shared" si="92"/>
        <v>23.561796508716537</v>
      </c>
      <c r="EZ166" s="423">
        <f t="shared" si="81"/>
        <v>6.2210126573285451E-2</v>
      </c>
      <c r="FA166">
        <v>0</v>
      </c>
      <c r="FD166" s="306" t="s">
        <v>13</v>
      </c>
      <c r="FE166" s="306" t="s">
        <v>383</v>
      </c>
      <c r="FF166" s="306">
        <v>6231.1390000000001</v>
      </c>
      <c r="FG166" s="306">
        <v>0.2794149850666986</v>
      </c>
      <c r="FH166" s="307">
        <v>849121</v>
      </c>
      <c r="FI166" s="326">
        <f t="shared" si="82"/>
        <v>23.561796508716537</v>
      </c>
      <c r="FJ166" s="326">
        <f t="shared" si="83"/>
        <v>6.2210126573285451E-2</v>
      </c>
      <c r="FL166" s="101"/>
      <c r="FM166" s="101"/>
      <c r="FN166" s="101"/>
      <c r="FO166" s="101"/>
      <c r="FP166" s="374"/>
      <c r="FQ166" s="405"/>
      <c r="FR166" s="405"/>
    </row>
    <row r="167" spans="142:174">
      <c r="EL167" s="306" t="s">
        <v>13</v>
      </c>
      <c r="EM167" s="306" t="s">
        <v>383</v>
      </c>
      <c r="EN167" s="306">
        <v>6231.1390000000001</v>
      </c>
      <c r="EO167" s="306">
        <v>0.2794149850666986</v>
      </c>
      <c r="EP167" s="308">
        <v>849121</v>
      </c>
      <c r="EQ167" s="308">
        <f t="shared" si="95"/>
        <v>85.315322234077868</v>
      </c>
      <c r="ER167" s="308">
        <f t="shared" si="96"/>
        <v>0.22525773842665822</v>
      </c>
      <c r="ET167" s="420" t="s">
        <v>301</v>
      </c>
      <c r="EU167" s="420" t="s">
        <v>577</v>
      </c>
      <c r="EV167" s="420">
        <v>11058.6175</v>
      </c>
      <c r="EW167" s="420">
        <v>0.1539041977987548</v>
      </c>
      <c r="EX167" s="421">
        <v>849122</v>
      </c>
      <c r="EY167" s="423">
        <f t="shared" si="92"/>
        <v>82.883835550406658</v>
      </c>
      <c r="EZ167" s="423">
        <f t="shared" si="81"/>
        <v>0.21883789288149846</v>
      </c>
      <c r="FA167">
        <v>0</v>
      </c>
      <c r="FD167" s="306" t="s">
        <v>301</v>
      </c>
      <c r="FE167" s="306" t="s">
        <v>577</v>
      </c>
      <c r="FF167" s="306">
        <v>11058.6175</v>
      </c>
      <c r="FG167" s="306">
        <v>0.1539041977987548</v>
      </c>
      <c r="FH167" s="307">
        <v>849122</v>
      </c>
      <c r="FI167" s="326">
        <f t="shared" si="82"/>
        <v>82.883835550406658</v>
      </c>
      <c r="FJ167" s="326">
        <f t="shared" si="83"/>
        <v>0.21883789288149846</v>
      </c>
      <c r="FL167" s="101"/>
      <c r="FM167" s="101"/>
      <c r="FN167" s="101"/>
      <c r="FO167" s="101"/>
      <c r="FP167" s="374"/>
      <c r="FQ167" s="405"/>
      <c r="FR167" s="405"/>
    </row>
    <row r="168" spans="142:174">
      <c r="EL168" s="306" t="s">
        <v>301</v>
      </c>
      <c r="EM168" s="306" t="s">
        <v>577</v>
      </c>
      <c r="EN168" s="306">
        <v>11058.6175</v>
      </c>
      <c r="EO168" s="306">
        <v>0.1539041977987548</v>
      </c>
      <c r="EP168" s="308">
        <v>849122</v>
      </c>
      <c r="EQ168" s="308">
        <f t="shared" si="95"/>
        <v>825.24881887082108</v>
      </c>
      <c r="ER168" s="308">
        <f t="shared" si="96"/>
        <v>2.1789014881533175</v>
      </c>
      <c r="ET168" s="420" t="s">
        <v>301</v>
      </c>
      <c r="EU168" s="420" t="s">
        <v>103</v>
      </c>
      <c r="EV168" s="420">
        <v>11210.3078</v>
      </c>
      <c r="EW168" s="420">
        <v>0.15601529115516691</v>
      </c>
      <c r="EX168" s="421">
        <v>849123</v>
      </c>
      <c r="EY168" s="423">
        <f t="shared" si="92"/>
        <v>801.7292275330027</v>
      </c>
      <c r="EZ168" s="423">
        <f t="shared" si="81"/>
        <v>2.1168027957409481</v>
      </c>
      <c r="FA168">
        <v>0</v>
      </c>
      <c r="FD168" s="306" t="s">
        <v>301</v>
      </c>
      <c r="FE168" s="306" t="s">
        <v>103</v>
      </c>
      <c r="FF168" s="306">
        <v>11210.3078</v>
      </c>
      <c r="FG168" s="306">
        <v>0.15601529115516691</v>
      </c>
      <c r="FH168" s="307">
        <v>849123</v>
      </c>
      <c r="FI168" s="326">
        <f t="shared" si="82"/>
        <v>801.7292275330027</v>
      </c>
      <c r="FJ168" s="326">
        <f t="shared" si="83"/>
        <v>2.1168027957409481</v>
      </c>
      <c r="FL168" s="101"/>
      <c r="FM168" s="101"/>
      <c r="FN168" s="101"/>
      <c r="FO168" s="101"/>
      <c r="FP168" s="374"/>
      <c r="FQ168" s="405"/>
      <c r="FR168" s="405"/>
    </row>
    <row r="169" spans="142:174">
      <c r="EL169" s="306" t="s">
        <v>301</v>
      </c>
      <c r="EM169" s="306" t="s">
        <v>103</v>
      </c>
      <c r="EN169" s="306">
        <v>11210.3078</v>
      </c>
      <c r="EO169" s="306">
        <v>0.15601529115516691</v>
      </c>
      <c r="EP169" s="308">
        <v>849123</v>
      </c>
      <c r="EQ169" s="308">
        <f t="shared" si="95"/>
        <v>836.56870048433757</v>
      </c>
      <c r="ER169" s="308">
        <f t="shared" si="96"/>
        <v>2.2087893308613618</v>
      </c>
      <c r="ET169" s="420" t="s">
        <v>301</v>
      </c>
      <c r="EU169" s="420" t="s">
        <v>104</v>
      </c>
      <c r="EV169" s="420">
        <v>10719.050499999999</v>
      </c>
      <c r="EW169" s="420">
        <v>0.14917840031693305</v>
      </c>
      <c r="EX169" s="421">
        <v>849124</v>
      </c>
      <c r="EY169" s="423">
        <f t="shared" si="92"/>
        <v>812.72649252053395</v>
      </c>
      <c r="EZ169" s="423">
        <f t="shared" si="81"/>
        <v>2.1458388349318129</v>
      </c>
      <c r="FA169">
        <v>0</v>
      </c>
      <c r="FD169" s="306" t="s">
        <v>301</v>
      </c>
      <c r="FE169" s="306" t="s">
        <v>104</v>
      </c>
      <c r="FF169" s="306">
        <v>10719.050499999999</v>
      </c>
      <c r="FG169" s="306">
        <v>0.14917840031693305</v>
      </c>
      <c r="FH169" s="307">
        <v>849124</v>
      </c>
      <c r="FI169" s="326">
        <f t="shared" si="82"/>
        <v>812.72649252053395</v>
      </c>
      <c r="FJ169" s="326">
        <f t="shared" si="83"/>
        <v>2.1458388349318129</v>
      </c>
      <c r="FL169" s="101"/>
      <c r="FM169" s="101"/>
      <c r="FN169" s="101"/>
      <c r="FO169" s="101"/>
      <c r="FP169" s="374"/>
      <c r="FQ169" s="405"/>
      <c r="FR169" s="405"/>
    </row>
    <row r="170" spans="142:174">
      <c r="EL170" s="306" t="s">
        <v>301</v>
      </c>
      <c r="EM170" s="306" t="s">
        <v>104</v>
      </c>
      <c r="EN170" s="306">
        <v>10719.050499999999</v>
      </c>
      <c r="EO170" s="306">
        <v>0.14917840031693305</v>
      </c>
      <c r="EP170" s="308">
        <v>849124</v>
      </c>
      <c r="EQ170" s="308">
        <f t="shared" si="95"/>
        <v>799.9086472193909</v>
      </c>
      <c r="ER170" s="308">
        <f t="shared" si="96"/>
        <v>2.1119959240873065</v>
      </c>
      <c r="ET170" s="420" t="s">
        <v>301</v>
      </c>
      <c r="EU170" s="420" t="s">
        <v>117</v>
      </c>
      <c r="EV170" s="420">
        <v>25550.6122</v>
      </c>
      <c r="EW170" s="420">
        <v>0.35559114635333733</v>
      </c>
      <c r="EX170" s="421">
        <v>849125</v>
      </c>
      <c r="EY170" s="423">
        <f t="shared" si="92"/>
        <v>777.11125077363829</v>
      </c>
      <c r="EZ170" s="423">
        <f t="shared" si="81"/>
        <v>2.0518040402508184</v>
      </c>
      <c r="FA170">
        <v>0</v>
      </c>
      <c r="FD170" s="306" t="s">
        <v>301</v>
      </c>
      <c r="FE170" s="306" t="s">
        <v>117</v>
      </c>
      <c r="FF170" s="306">
        <v>25550.6122</v>
      </c>
      <c r="FG170" s="306">
        <v>0.35559114635333733</v>
      </c>
      <c r="FH170" s="307">
        <v>849125</v>
      </c>
      <c r="FI170" s="326">
        <f t="shared" si="82"/>
        <v>777.11125077363829</v>
      </c>
      <c r="FJ170" s="326">
        <f t="shared" si="83"/>
        <v>2.0518040402508184</v>
      </c>
      <c r="FL170" s="101"/>
      <c r="FM170" s="101"/>
      <c r="FN170" s="101"/>
      <c r="FO170" s="101"/>
      <c r="FP170" s="374"/>
      <c r="FQ170" s="405"/>
      <c r="FR170" s="405"/>
    </row>
    <row r="171" spans="142:174">
      <c r="EL171" s="306" t="s">
        <v>301</v>
      </c>
      <c r="EM171" s="306" t="s">
        <v>117</v>
      </c>
      <c r="EN171" s="306">
        <v>25550.6122</v>
      </c>
      <c r="EO171" s="306">
        <v>0.35559114635333733</v>
      </c>
      <c r="EP171" s="308">
        <v>849125</v>
      </c>
      <c r="EQ171" s="308">
        <f t="shared" si="95"/>
        <v>1906.7132523099194</v>
      </c>
      <c r="ER171" s="308">
        <f t="shared" si="96"/>
        <v>5.034288141877437</v>
      </c>
      <c r="ET171" s="420" t="s">
        <v>301</v>
      </c>
      <c r="EU171" s="420" t="s">
        <v>118</v>
      </c>
      <c r="EV171" s="420">
        <v>13315.3163</v>
      </c>
      <c r="EW171" s="420">
        <v>0.18531096437580774</v>
      </c>
      <c r="EX171" s="421">
        <v>849126</v>
      </c>
      <c r="EY171" s="423">
        <f t="shared" si="92"/>
        <v>1852.3719246190867</v>
      </c>
      <c r="EZ171" s="423">
        <f t="shared" si="81"/>
        <v>4.89081092983393</v>
      </c>
      <c r="FA171">
        <v>0</v>
      </c>
      <c r="FD171" s="306" t="s">
        <v>301</v>
      </c>
      <c r="FE171" s="306" t="s">
        <v>118</v>
      </c>
      <c r="FF171" s="306">
        <v>13315.3163</v>
      </c>
      <c r="FG171" s="306">
        <v>0.18531096437580774</v>
      </c>
      <c r="FH171" s="307">
        <v>849126</v>
      </c>
      <c r="FI171" s="326">
        <f t="shared" si="82"/>
        <v>1852.3719246190867</v>
      </c>
      <c r="FJ171" s="326">
        <f t="shared" si="83"/>
        <v>4.89081092983393</v>
      </c>
      <c r="FL171" s="101"/>
      <c r="FM171" s="101"/>
      <c r="FN171" s="101"/>
      <c r="FO171" s="101"/>
      <c r="FP171" s="374"/>
      <c r="FQ171" s="405"/>
      <c r="FR171" s="405"/>
    </row>
    <row r="172" spans="142:174">
      <c r="EL172" s="306" t="s">
        <v>301</v>
      </c>
      <c r="EM172" s="306" t="s">
        <v>118</v>
      </c>
      <c r="EN172" s="306">
        <v>13315.3163</v>
      </c>
      <c r="EO172" s="306">
        <v>0.18531096437580774</v>
      </c>
      <c r="EP172" s="308">
        <v>849126</v>
      </c>
      <c r="EQ172" s="308">
        <f t="shared" si="95"/>
        <v>993.65486232491469</v>
      </c>
      <c r="ER172" s="308">
        <f t="shared" si="96"/>
        <v>2.6235433589508026</v>
      </c>
      <c r="ET172" s="420" t="s">
        <v>302</v>
      </c>
      <c r="EU172" s="420" t="s">
        <v>579</v>
      </c>
      <c r="EV172" s="420">
        <v>15739.680700000001</v>
      </c>
      <c r="EW172" s="420">
        <v>0.310763615277375</v>
      </c>
      <c r="EX172" s="421">
        <v>849127</v>
      </c>
      <c r="EY172" s="423">
        <f t="shared" si="92"/>
        <v>965.33569874865464</v>
      </c>
      <c r="EZ172" s="423">
        <f t="shared" si="81"/>
        <v>2.5487723732207046</v>
      </c>
      <c r="FA172">
        <v>0</v>
      </c>
      <c r="FD172" s="306" t="s">
        <v>302</v>
      </c>
      <c r="FE172" s="306" t="s">
        <v>579</v>
      </c>
      <c r="FF172" s="306">
        <v>15739.680700000001</v>
      </c>
      <c r="FG172" s="306">
        <v>0.310763615277375</v>
      </c>
      <c r="FH172" s="307">
        <v>849127</v>
      </c>
      <c r="FI172" s="326">
        <f t="shared" si="82"/>
        <v>965.33569874865464</v>
      </c>
      <c r="FJ172" s="326">
        <f t="shared" si="83"/>
        <v>2.5487723732207046</v>
      </c>
      <c r="FL172" s="101"/>
      <c r="FM172" s="101"/>
      <c r="FN172" s="101"/>
      <c r="FO172" s="101"/>
      <c r="FP172" s="374"/>
      <c r="FQ172" s="405"/>
      <c r="FR172" s="405"/>
    </row>
    <row r="173" spans="142:174">
      <c r="EL173" s="306" t="s">
        <v>302</v>
      </c>
      <c r="EM173" s="306" t="s">
        <v>579</v>
      </c>
      <c r="EN173" s="306">
        <v>15739.680700000001</v>
      </c>
      <c r="EO173" s="306">
        <v>0.310763615277375</v>
      </c>
      <c r="EP173" s="308">
        <v>849127</v>
      </c>
      <c r="EQ173" s="308">
        <f t="shared" si="95"/>
        <v>19.857413225527587</v>
      </c>
      <c r="ER173" s="308">
        <f t="shared" si="96"/>
        <v>5.2429456714860441E-2</v>
      </c>
      <c r="ET173" s="420" t="s">
        <v>302</v>
      </c>
      <c r="EU173" s="420" t="s">
        <v>580</v>
      </c>
      <c r="EV173" s="420">
        <v>34908.721899999997</v>
      </c>
      <c r="EW173" s="420">
        <v>0.68923638472262494</v>
      </c>
      <c r="EX173" s="421">
        <v>849128</v>
      </c>
      <c r="EY173" s="423">
        <f t="shared" si="92"/>
        <v>19.291476948600053</v>
      </c>
      <c r="EZ173" s="423">
        <f t="shared" si="81"/>
        <v>5.0935217198486919E-2</v>
      </c>
      <c r="FA173">
        <v>0</v>
      </c>
      <c r="FD173" s="306" t="s">
        <v>302</v>
      </c>
      <c r="FE173" s="306" t="s">
        <v>580</v>
      </c>
      <c r="FF173" s="306">
        <v>34908.721899999997</v>
      </c>
      <c r="FG173" s="306">
        <v>0.68923638472262494</v>
      </c>
      <c r="FH173" s="307">
        <v>849128</v>
      </c>
      <c r="FI173" s="326">
        <f t="shared" si="82"/>
        <v>19.291476948600053</v>
      </c>
      <c r="FJ173" s="326">
        <f t="shared" si="83"/>
        <v>5.0935217198486919E-2</v>
      </c>
      <c r="FL173" s="101"/>
      <c r="FM173" s="101"/>
      <c r="FN173" s="101"/>
      <c r="FO173" s="101"/>
      <c r="FP173" s="374"/>
      <c r="FQ173" s="405"/>
      <c r="FR173" s="405"/>
    </row>
    <row r="174" spans="142:174">
      <c r="EL174" s="306" t="s">
        <v>302</v>
      </c>
      <c r="EM174" s="306" t="s">
        <v>580</v>
      </c>
      <c r="EN174" s="306">
        <v>34908.721899999997</v>
      </c>
      <c r="EO174" s="306">
        <v>0.68923638472262494</v>
      </c>
      <c r="EP174" s="308">
        <v>849128</v>
      </c>
      <c r="EQ174" s="308">
        <f t="shared" si="95"/>
        <v>44.041358217852824</v>
      </c>
      <c r="ER174" s="308">
        <f t="shared" si="96"/>
        <v>0.11628223969163178</v>
      </c>
      <c r="ET174" s="420" t="s">
        <v>303</v>
      </c>
      <c r="EU174" s="420" t="s">
        <v>582</v>
      </c>
      <c r="EV174" s="420">
        <v>4662.5794999999998</v>
      </c>
      <c r="EW174" s="420">
        <v>1</v>
      </c>
      <c r="EX174" s="421">
        <v>849129</v>
      </c>
      <c r="EY174" s="423">
        <f t="shared" si="92"/>
        <v>42.786179508644018</v>
      </c>
      <c r="EZ174" s="423">
        <f t="shared" si="81"/>
        <v>0.11296819586042027</v>
      </c>
      <c r="FA174">
        <v>0</v>
      </c>
      <c r="FD174" s="306" t="s">
        <v>303</v>
      </c>
      <c r="FE174" s="306" t="s">
        <v>582</v>
      </c>
      <c r="FF174" s="306">
        <v>4662.5794999999998</v>
      </c>
      <c r="FG174" s="306">
        <v>1</v>
      </c>
      <c r="FH174" s="307">
        <v>849129</v>
      </c>
      <c r="FI174" s="326">
        <f t="shared" si="82"/>
        <v>42.786179508644018</v>
      </c>
      <c r="FJ174" s="326">
        <f t="shared" si="83"/>
        <v>0.11296819586042027</v>
      </c>
      <c r="FL174" s="101"/>
      <c r="FM174" s="101"/>
      <c r="FN174" s="101"/>
      <c r="FO174" s="101"/>
      <c r="FP174" s="374"/>
      <c r="FQ174" s="405"/>
      <c r="FR174" s="405"/>
    </row>
    <row r="175" spans="142:174">
      <c r="EL175" s="306" t="s">
        <v>303</v>
      </c>
      <c r="EM175" s="306" t="s">
        <v>582</v>
      </c>
      <c r="EN175" s="306">
        <v>4662.5794999999998</v>
      </c>
      <c r="EO175" s="306">
        <v>1</v>
      </c>
      <c r="EP175" s="308">
        <v>849129</v>
      </c>
      <c r="EQ175" s="308">
        <f t="shared" si="95"/>
        <v>113.0803331374108</v>
      </c>
      <c r="ER175" s="308">
        <f t="shared" si="96"/>
        <v>0.29856559684764084</v>
      </c>
      <c r="ET175" s="420" t="s">
        <v>304</v>
      </c>
      <c r="EU175" s="420" t="s">
        <v>584</v>
      </c>
      <c r="EV175" s="420">
        <v>1500.06</v>
      </c>
      <c r="EW175" s="420">
        <v>0.43611638887745335</v>
      </c>
      <c r="EX175" s="421">
        <v>849130</v>
      </c>
      <c r="EY175" s="423">
        <f t="shared" si="92"/>
        <v>109.8575436429946</v>
      </c>
      <c r="EZ175" s="423">
        <f t="shared" si="81"/>
        <v>0.29005647733748308</v>
      </c>
      <c r="FA175">
        <v>0</v>
      </c>
      <c r="FD175" s="306" t="s">
        <v>304</v>
      </c>
      <c r="FE175" s="306" t="s">
        <v>584</v>
      </c>
      <c r="FF175" s="306">
        <v>1500.06</v>
      </c>
      <c r="FG175" s="306">
        <v>0.43611638887745335</v>
      </c>
      <c r="FH175" s="307">
        <v>849130</v>
      </c>
      <c r="FI175" s="326">
        <f t="shared" si="82"/>
        <v>109.8575436429946</v>
      </c>
      <c r="FJ175" s="326">
        <f t="shared" si="83"/>
        <v>0.29005647733748308</v>
      </c>
      <c r="FL175" s="101"/>
      <c r="FM175" s="101"/>
      <c r="FN175" s="101"/>
      <c r="FO175" s="101"/>
      <c r="FP175" s="374"/>
      <c r="FQ175" s="405"/>
      <c r="FR175" s="405"/>
    </row>
    <row r="176" spans="142:174">
      <c r="EL176" s="306" t="s">
        <v>304</v>
      </c>
      <c r="EM176" s="306" t="s">
        <v>584</v>
      </c>
      <c r="EN176" s="306">
        <v>1500.06</v>
      </c>
      <c r="EO176" s="306">
        <v>0.43611638887745335</v>
      </c>
      <c r="EP176" s="308">
        <v>849130</v>
      </c>
      <c r="EQ176" s="308">
        <f t="shared" si="95"/>
        <v>4.549763502953927</v>
      </c>
      <c r="ER176" s="308">
        <f t="shared" si="96"/>
        <v>1.2012724211949164E-2</v>
      </c>
      <c r="ET176" s="420" t="s">
        <v>304</v>
      </c>
      <c r="EU176" s="420" t="s">
        <v>393</v>
      </c>
      <c r="EV176" s="420">
        <v>1939.5264</v>
      </c>
      <c r="EW176" s="420">
        <v>0.56388361112254659</v>
      </c>
      <c r="EX176" s="421">
        <v>849131</v>
      </c>
      <c r="EY176" s="423">
        <f t="shared" si="92"/>
        <v>4.4200952431197402</v>
      </c>
      <c r="EZ176" s="423">
        <f t="shared" si="81"/>
        <v>1.1670361571908613E-2</v>
      </c>
      <c r="FA176">
        <v>0</v>
      </c>
      <c r="FD176" s="306" t="s">
        <v>304</v>
      </c>
      <c r="FE176" s="306" t="s">
        <v>393</v>
      </c>
      <c r="FF176" s="306">
        <v>1939.5264</v>
      </c>
      <c r="FG176" s="306">
        <v>0.56388361112254659</v>
      </c>
      <c r="FH176" s="307">
        <v>849131</v>
      </c>
      <c r="FI176" s="326">
        <f t="shared" si="82"/>
        <v>4.4200952431197402</v>
      </c>
      <c r="FJ176" s="326">
        <f t="shared" si="83"/>
        <v>1.1670361571908613E-2</v>
      </c>
      <c r="FL176" s="101"/>
      <c r="FM176" s="101"/>
      <c r="FN176" s="101"/>
      <c r="FO176" s="101"/>
      <c r="FP176" s="374"/>
      <c r="FQ176" s="405"/>
      <c r="FR176" s="405"/>
    </row>
    <row r="177" spans="142:174">
      <c r="EL177" s="306" t="s">
        <v>304</v>
      </c>
      <c r="EM177" s="306" t="s">
        <v>393</v>
      </c>
      <c r="EN177" s="306">
        <v>1939.5264</v>
      </c>
      <c r="EO177" s="306">
        <v>0.56388361112254659</v>
      </c>
      <c r="EP177" s="308">
        <v>849131</v>
      </c>
      <c r="EQ177" s="308">
        <f t="shared" si="95"/>
        <v>5.8826889775979758</v>
      </c>
      <c r="ER177" s="308">
        <f t="shared" si="96"/>
        <v>1.5532042548294468E-2</v>
      </c>
      <c r="ET177" s="420" t="s">
        <v>305</v>
      </c>
      <c r="EU177" s="420" t="s">
        <v>679</v>
      </c>
      <c r="EV177" s="420">
        <v>2026.3647000000001</v>
      </c>
      <c r="EW177" s="420">
        <v>1</v>
      </c>
      <c r="EX177" s="421">
        <v>849132</v>
      </c>
      <c r="EY177" s="423">
        <f t="shared" si="92"/>
        <v>5.7150323417364337</v>
      </c>
      <c r="EZ177" s="423">
        <f t="shared" si="81"/>
        <v>1.5089379335668077E-2</v>
      </c>
      <c r="FA177">
        <v>0</v>
      </c>
      <c r="FD177" s="306" t="s">
        <v>305</v>
      </c>
      <c r="FE177" s="306" t="s">
        <v>679</v>
      </c>
      <c r="FF177" s="306">
        <v>2026.3647000000001</v>
      </c>
      <c r="FG177" s="306">
        <v>1</v>
      </c>
      <c r="FH177" s="307">
        <v>849132</v>
      </c>
      <c r="FI177" s="326">
        <f t="shared" si="82"/>
        <v>5.7150323417364337</v>
      </c>
      <c r="FJ177" s="326">
        <f t="shared" si="83"/>
        <v>1.5089379335668077E-2</v>
      </c>
      <c r="FL177" s="101"/>
      <c r="FM177" s="101"/>
      <c r="FN177" s="101"/>
      <c r="FO177" s="101"/>
      <c r="FP177" s="374"/>
      <c r="FQ177" s="405"/>
      <c r="FR177" s="405"/>
    </row>
    <row r="178" spans="142:174">
      <c r="EL178" s="306" t="s">
        <v>305</v>
      </c>
      <c r="EM178" s="306" t="s">
        <v>679</v>
      </c>
      <c r="EN178" s="306">
        <v>2026.3647000000001</v>
      </c>
      <c r="EO178" s="306">
        <v>1</v>
      </c>
      <c r="EP178" s="308">
        <v>849132</v>
      </c>
      <c r="EQ178" s="308">
        <f t="shared" si="95"/>
        <v>32.228826413133561</v>
      </c>
      <c r="ER178" s="308">
        <f t="shared" si="96"/>
        <v>8.5093654455752663E-2</v>
      </c>
      <c r="ET178" s="420" t="s">
        <v>47</v>
      </c>
      <c r="EU178" s="420" t="s">
        <v>680</v>
      </c>
      <c r="EV178" s="420">
        <v>41993.0622</v>
      </c>
      <c r="EW178" s="420">
        <v>0.3967757985704885</v>
      </c>
      <c r="EX178" s="421">
        <v>849133</v>
      </c>
      <c r="EY178" s="423">
        <f t="shared" si="92"/>
        <v>31.310304860359256</v>
      </c>
      <c r="EZ178" s="423">
        <f t="shared" si="81"/>
        <v>8.2668485303763709E-2</v>
      </c>
      <c r="FA178">
        <v>0</v>
      </c>
      <c r="FD178" s="306" t="s">
        <v>47</v>
      </c>
      <c r="FE178" s="306" t="s">
        <v>680</v>
      </c>
      <c r="FF178" s="306">
        <v>41993.0622</v>
      </c>
      <c r="FG178" s="306">
        <v>0.3967757985704885</v>
      </c>
      <c r="FH178" s="307">
        <v>849133</v>
      </c>
      <c r="FI178" s="326">
        <f t="shared" si="82"/>
        <v>31.310304860359256</v>
      </c>
      <c r="FJ178" s="326">
        <f t="shared" si="83"/>
        <v>8.2668485303763709E-2</v>
      </c>
      <c r="FL178" s="101"/>
      <c r="FM178" s="101"/>
      <c r="FN178" s="101"/>
      <c r="FO178" s="101"/>
      <c r="FP178" s="374"/>
      <c r="FQ178" s="405"/>
      <c r="FR178" s="405"/>
    </row>
    <row r="179" spans="142:174">
      <c r="EL179" s="306" t="s">
        <v>47</v>
      </c>
      <c r="EM179" s="306" t="s">
        <v>680</v>
      </c>
      <c r="EN179" s="306">
        <v>41993.0622</v>
      </c>
      <c r="EO179" s="306">
        <v>0.3967757985704885</v>
      </c>
      <c r="EP179" s="308">
        <v>849133</v>
      </c>
      <c r="EQ179" s="308">
        <f t="shared" si="95"/>
        <v>1107.9399494462614</v>
      </c>
      <c r="ER179" s="308">
        <f t="shared" si="96"/>
        <v>2.9252898634088873</v>
      </c>
      <c r="ET179" s="420" t="s">
        <v>47</v>
      </c>
      <c r="EU179" s="420" t="s">
        <v>398</v>
      </c>
      <c r="EV179" s="420">
        <v>63842.682699999998</v>
      </c>
      <c r="EW179" s="420">
        <v>0.60322420142951161</v>
      </c>
      <c r="EX179" s="421">
        <v>849134</v>
      </c>
      <c r="EY179" s="423">
        <f t="shared" si="92"/>
        <v>1076.3636608870429</v>
      </c>
      <c r="EZ179" s="423">
        <f t="shared" si="81"/>
        <v>2.8419191023017341</v>
      </c>
      <c r="FA179">
        <v>0</v>
      </c>
      <c r="FD179" s="306" t="s">
        <v>47</v>
      </c>
      <c r="FE179" s="306" t="s">
        <v>398</v>
      </c>
      <c r="FF179" s="306">
        <v>63842.682699999998</v>
      </c>
      <c r="FG179" s="306">
        <v>0.60322420142951161</v>
      </c>
      <c r="FH179" s="307">
        <v>849134</v>
      </c>
      <c r="FI179" s="326">
        <f t="shared" si="82"/>
        <v>1076.3636608870429</v>
      </c>
      <c r="FJ179" s="326">
        <f t="shared" si="83"/>
        <v>2.8419191023017341</v>
      </c>
      <c r="FL179" s="101"/>
      <c r="FM179" s="101"/>
      <c r="FN179" s="101"/>
      <c r="FO179" s="101"/>
      <c r="FP179" s="374"/>
      <c r="FQ179" s="405"/>
      <c r="FR179" s="405"/>
    </row>
    <row r="180" spans="142:174">
      <c r="EL180" s="306" t="s">
        <v>47</v>
      </c>
      <c r="EM180" s="306" t="s">
        <v>398</v>
      </c>
      <c r="EN180" s="306">
        <v>63842.682699999998</v>
      </c>
      <c r="EO180" s="306">
        <v>0.60322420142951161</v>
      </c>
      <c r="EP180" s="308">
        <v>849134</v>
      </c>
      <c r="EQ180" s="308">
        <f t="shared" si="95"/>
        <v>1684.4177332500344</v>
      </c>
      <c r="ER180" s="308">
        <f t="shared" si="96"/>
        <v>4.4473620824713258</v>
      </c>
      <c r="EY180" s="431">
        <f>EY181-VLOOKUP($EV$181,장항공공주택지구_통행량제외분!$J$12:$P$18,3,FALSE)</f>
        <v>9643.5215522585713</v>
      </c>
      <c r="EZ180" s="431">
        <f>EZ181-VLOOKUP($EV$138,장항공공주택지구_통행량제외분!$J$12:$P$18,5,FALSE)</f>
        <v>28.691621165014613</v>
      </c>
      <c r="FI180" s="310">
        <f>SUM(FI146:FI179)</f>
        <v>15741.473813548178</v>
      </c>
      <c r="FJ180" s="310">
        <f>SUM(FJ146:FJ179)</f>
        <v>41.571387688340721</v>
      </c>
      <c r="FP180" s="277"/>
      <c r="FQ180" s="310"/>
      <c r="FR180" s="310"/>
    </row>
    <row r="181" spans="142:174">
      <c r="EQ181" s="310">
        <f>SUM(EQ146:EQ180)</f>
        <v>17887.684654040742</v>
      </c>
      <c r="ER181" s="310">
        <f>SUM(ER146:ER180)</f>
        <v>47.238291252147832</v>
      </c>
      <c r="EV181" s="432">
        <f>기준년도설정!B1</f>
        <v>2040</v>
      </c>
      <c r="EY181" s="310">
        <f>SUM(EY146:EY179)</f>
        <v>15741.473813548178</v>
      </c>
      <c r="EZ181" s="310">
        <f>SUM(EZ146:EZ179)</f>
        <v>41.571387688340721</v>
      </c>
      <c r="FH181" s="277"/>
    </row>
    <row r="182" spans="142:174">
      <c r="FA182" s="277"/>
    </row>
    <row r="183" spans="142:174">
      <c r="FA183" s="277"/>
    </row>
    <row r="184" spans="142:174">
      <c r="FA184" s="277"/>
    </row>
    <row r="185" spans="142:174">
      <c r="FA185" s="277"/>
    </row>
    <row r="186" spans="142:174">
      <c r="FA186" s="277"/>
    </row>
    <row r="187" spans="142:174">
      <c r="FA187" s="277"/>
    </row>
    <row r="188" spans="142:174">
      <c r="FA188" s="277"/>
    </row>
  </sheetData>
  <mergeCells count="150">
    <mergeCell ref="A10:B10"/>
    <mergeCell ref="A11:A12"/>
    <mergeCell ref="A17:E18"/>
    <mergeCell ref="F17:H17"/>
    <mergeCell ref="L17:L18"/>
    <mergeCell ref="O17:O21"/>
    <mergeCell ref="AY18:AZ19"/>
    <mergeCell ref="A19:A36"/>
    <mergeCell ref="B19:E19"/>
    <mergeCell ref="P19:S19"/>
    <mergeCell ref="T19:U19"/>
    <mergeCell ref="X19:AA19"/>
    <mergeCell ref="AB19:AC19"/>
    <mergeCell ref="AK19:AN19"/>
    <mergeCell ref="P17:W17"/>
    <mergeCell ref="X17:AE17"/>
    <mergeCell ref="AJ17:AJ21"/>
    <mergeCell ref="AK17:AR17"/>
    <mergeCell ref="AS17:AZ17"/>
    <mergeCell ref="P18:U18"/>
    <mergeCell ref="V18:W19"/>
    <mergeCell ref="X18:AC18"/>
    <mergeCell ref="AD18:AE19"/>
    <mergeCell ref="AK18:AP18"/>
    <mergeCell ref="AO19:AP19"/>
    <mergeCell ref="AS19:AV19"/>
    <mergeCell ref="AW19:AX19"/>
    <mergeCell ref="C20:E20"/>
    <mergeCell ref="S20:S21"/>
    <mergeCell ref="T20:T21"/>
    <mergeCell ref="U20:U21"/>
    <mergeCell ref="V20:V21"/>
    <mergeCell ref="W20:W21"/>
    <mergeCell ref="AA20:AA21"/>
    <mergeCell ref="AQ18:AR19"/>
    <mergeCell ref="AS18:AX18"/>
    <mergeCell ref="C30:E30"/>
    <mergeCell ref="C31:E31"/>
    <mergeCell ref="C32:E32"/>
    <mergeCell ref="C33:E33"/>
    <mergeCell ref="C34:E34"/>
    <mergeCell ref="C35:E35"/>
    <mergeCell ref="AY20:AY21"/>
    <mergeCell ref="AZ20:AZ21"/>
    <mergeCell ref="D21:E21"/>
    <mergeCell ref="D22:E22"/>
    <mergeCell ref="D23:E23"/>
    <mergeCell ref="D24:D26"/>
    <mergeCell ref="AP20:AP21"/>
    <mergeCell ref="AQ20:AQ21"/>
    <mergeCell ref="AR20:AR21"/>
    <mergeCell ref="AV20:AV21"/>
    <mergeCell ref="AW20:AW21"/>
    <mergeCell ref="AX20:AX21"/>
    <mergeCell ref="AB20:AB21"/>
    <mergeCell ref="AC20:AC21"/>
    <mergeCell ref="AD20:AD21"/>
    <mergeCell ref="AE20:AE21"/>
    <mergeCell ref="AN20:AN21"/>
    <mergeCell ref="AO20:AO21"/>
    <mergeCell ref="AC35:AG35"/>
    <mergeCell ref="C36:E36"/>
    <mergeCell ref="AC36:AC43"/>
    <mergeCell ref="A37:A54"/>
    <mergeCell ref="B37:E37"/>
    <mergeCell ref="C38:E38"/>
    <mergeCell ref="D39:E39"/>
    <mergeCell ref="AF39:AG39"/>
    <mergeCell ref="D40:E40"/>
    <mergeCell ref="AF40:AG40"/>
    <mergeCell ref="D41:E41"/>
    <mergeCell ref="AF41:AG41"/>
    <mergeCell ref="D42:D44"/>
    <mergeCell ref="AD42:AE43"/>
    <mergeCell ref="AF42:AG42"/>
    <mergeCell ref="AF43:AG43"/>
    <mergeCell ref="AC44:AC51"/>
    <mergeCell ref="AF47:AG47"/>
    <mergeCell ref="C48:E48"/>
    <mergeCell ref="AF48:AG48"/>
    <mergeCell ref="C52:E52"/>
    <mergeCell ref="C53:E53"/>
    <mergeCell ref="C54:E54"/>
    <mergeCell ref="A59:E60"/>
    <mergeCell ref="C49:E49"/>
    <mergeCell ref="AF49:AG49"/>
    <mergeCell ref="C50:E50"/>
    <mergeCell ref="AD50:AE51"/>
    <mergeCell ref="AF50:AG50"/>
    <mergeCell ref="C51:E51"/>
    <mergeCell ref="AF51:AG51"/>
    <mergeCell ref="F59:H59"/>
    <mergeCell ref="L59:L60"/>
    <mergeCell ref="A77:E78"/>
    <mergeCell ref="C72:E72"/>
    <mergeCell ref="C70:E70"/>
    <mergeCell ref="C71:E71"/>
    <mergeCell ref="C68:E68"/>
    <mergeCell ref="C69:E69"/>
    <mergeCell ref="C66:E66"/>
    <mergeCell ref="C67:E67"/>
    <mergeCell ref="D61:E61"/>
    <mergeCell ref="D62:D63"/>
    <mergeCell ref="C86:E86"/>
    <mergeCell ref="C87:E87"/>
    <mergeCell ref="C84:E84"/>
    <mergeCell ref="C85:E85"/>
    <mergeCell ref="C90:E90"/>
    <mergeCell ref="C88:E88"/>
    <mergeCell ref="C89:E89"/>
    <mergeCell ref="D79:E79"/>
    <mergeCell ref="D80:D81"/>
    <mergeCell ref="F77:H77"/>
    <mergeCell ref="L77:L78"/>
    <mergeCell ref="Q59:U60"/>
    <mergeCell ref="V59:X59"/>
    <mergeCell ref="AB59:AB60"/>
    <mergeCell ref="Q77:U78"/>
    <mergeCell ref="V77:X77"/>
    <mergeCell ref="AB77:AB78"/>
    <mergeCell ref="DJ101:DM101"/>
    <mergeCell ref="BC101:BP101"/>
    <mergeCell ref="BQ101:CD101"/>
    <mergeCell ref="CE101:CR101"/>
    <mergeCell ref="CX101:DA101"/>
    <mergeCell ref="DB101:DE101"/>
    <mergeCell ref="DF101:DI101"/>
    <mergeCell ref="EP158:EP159"/>
    <mergeCell ref="ED144:EE144"/>
    <mergeCell ref="DY144:DZ144"/>
    <mergeCell ref="DR144:DU144"/>
    <mergeCell ref="DN144:DQ144"/>
    <mergeCell ref="DJ144:DM144"/>
    <mergeCell ref="DF144:DI144"/>
    <mergeCell ref="DB144:DE144"/>
    <mergeCell ref="CX144:DA144"/>
    <mergeCell ref="CE144:CR144"/>
    <mergeCell ref="BQ144:CD144"/>
    <mergeCell ref="BC144:BP144"/>
    <mergeCell ref="AO144:BB144"/>
    <mergeCell ref="AA144:AN144"/>
    <mergeCell ref="M144:Z144"/>
    <mergeCell ref="EP115:EP116"/>
    <mergeCell ref="AO101:BB101"/>
    <mergeCell ref="AA101:AN101"/>
    <mergeCell ref="M101:Z101"/>
    <mergeCell ref="DN101:DQ101"/>
    <mergeCell ref="DR101:DU101"/>
    <mergeCell ref="DY101:DZ101"/>
    <mergeCell ref="ED101:EE101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K190"/>
  <sheetViews>
    <sheetView topLeftCell="BJ1" zoomScale="85" zoomScaleNormal="85" workbookViewId="0">
      <selection activeCell="CX8" sqref="CX8"/>
    </sheetView>
  </sheetViews>
  <sheetFormatPr defaultRowHeight="17"/>
  <cols>
    <col min="1" max="1" width="9.5" bestFit="1" customWidth="1"/>
    <col min="3" max="4" width="11.1640625" bestFit="1" customWidth="1"/>
    <col min="13" max="13" width="9.25" bestFit="1" customWidth="1"/>
    <col min="20" max="20" width="11.5" customWidth="1"/>
    <col min="25" max="25" width="13" bestFit="1" customWidth="1"/>
    <col min="40" max="40" width="13" bestFit="1" customWidth="1"/>
    <col min="132" max="132" width="18.33203125" bestFit="1" customWidth="1"/>
    <col min="147" max="147" width="12.08203125" bestFit="1" customWidth="1"/>
    <col min="148" max="148" width="10.6640625" bestFit="1" customWidth="1"/>
  </cols>
  <sheetData>
    <row r="1" spans="1:105">
      <c r="A1" t="s">
        <v>154</v>
      </c>
    </row>
    <row r="2" spans="1:105" ht="20.5">
      <c r="A2" t="s">
        <v>153</v>
      </c>
      <c r="B2" t="s">
        <v>847</v>
      </c>
      <c r="Y2" t="s">
        <v>685</v>
      </c>
      <c r="CS2" s="364" t="s">
        <v>773</v>
      </c>
      <c r="DA2" s="364" t="s">
        <v>773</v>
      </c>
    </row>
    <row r="3" spans="1:105" ht="30">
      <c r="Y3" s="254">
        <v>2024</v>
      </c>
      <c r="AN3" s="254">
        <v>2028</v>
      </c>
      <c r="CQ3" s="364" t="s">
        <v>780</v>
      </c>
      <c r="CS3" t="s">
        <v>772</v>
      </c>
    </row>
    <row r="4" spans="1:105">
      <c r="B4" t="s">
        <v>192</v>
      </c>
      <c r="G4" t="s">
        <v>194</v>
      </c>
      <c r="AA4" s="562" t="s">
        <v>165</v>
      </c>
      <c r="AB4" s="563"/>
      <c r="AC4" s="563"/>
      <c r="AD4" s="563"/>
      <c r="AE4" s="563"/>
      <c r="AF4" s="564"/>
      <c r="AG4" s="565" t="s">
        <v>166</v>
      </c>
      <c r="AH4" s="566"/>
      <c r="AP4" s="562" t="s">
        <v>165</v>
      </c>
      <c r="AQ4" s="563"/>
      <c r="AR4" s="563"/>
      <c r="AS4" s="563"/>
      <c r="AT4" s="563"/>
      <c r="AU4" s="564"/>
      <c r="AV4" s="565" t="s">
        <v>166</v>
      </c>
      <c r="AW4" s="566"/>
      <c r="CQ4" t="s">
        <v>779</v>
      </c>
      <c r="CS4" t="s">
        <v>776</v>
      </c>
      <c r="DA4" s="32" t="s">
        <v>777</v>
      </c>
    </row>
    <row r="5" spans="1:105" ht="17.5" thickBot="1">
      <c r="B5" t="s">
        <v>172</v>
      </c>
      <c r="G5" t="s">
        <v>193</v>
      </c>
      <c r="AA5" s="562" t="s">
        <v>44</v>
      </c>
      <c r="AB5" s="564"/>
      <c r="AC5" s="562" t="s">
        <v>45</v>
      </c>
      <c r="AD5" s="564"/>
      <c r="AE5" s="562" t="s">
        <v>46</v>
      </c>
      <c r="AF5" s="564"/>
      <c r="AG5" s="567"/>
      <c r="AH5" s="568"/>
      <c r="AI5" s="534"/>
      <c r="AJ5" s="534"/>
      <c r="AK5" s="534"/>
      <c r="AP5" s="562" t="s">
        <v>44</v>
      </c>
      <c r="AQ5" s="564"/>
      <c r="AR5" s="562" t="s">
        <v>45</v>
      </c>
      <c r="AS5" s="564"/>
      <c r="AT5" s="562" t="s">
        <v>46</v>
      </c>
      <c r="AU5" s="564"/>
      <c r="AV5" s="567"/>
      <c r="AW5" s="568"/>
      <c r="AX5" s="534"/>
      <c r="AY5" s="534"/>
      <c r="AZ5" s="534"/>
      <c r="CP5" t="s">
        <v>781</v>
      </c>
      <c r="CQ5" t="s">
        <v>775</v>
      </c>
      <c r="CS5" s="98"/>
      <c r="CT5" s="98" t="s">
        <v>763</v>
      </c>
      <c r="CU5" s="98" t="s">
        <v>764</v>
      </c>
      <c r="CV5" s="363" t="s">
        <v>765</v>
      </c>
      <c r="CW5" s="306" t="s">
        <v>766</v>
      </c>
      <c r="CX5" s="98" t="s">
        <v>767</v>
      </c>
      <c r="CY5" s="98" t="s">
        <v>768</v>
      </c>
      <c r="DA5" s="368">
        <v>2.8500000000000001E-2</v>
      </c>
    </row>
    <row r="6" spans="1:105" ht="18" customHeight="1" thickTop="1" thickBot="1">
      <c r="B6" s="543" t="s">
        <v>39</v>
      </c>
      <c r="C6" s="544"/>
      <c r="D6" s="547" t="s">
        <v>163</v>
      </c>
      <c r="E6" s="548"/>
      <c r="G6" s="32" t="s">
        <v>189</v>
      </c>
      <c r="Y6" t="s">
        <v>34</v>
      </c>
      <c r="Z6" t="s">
        <v>148</v>
      </c>
      <c r="AA6" s="53" t="s">
        <v>40</v>
      </c>
      <c r="AB6" s="53" t="s">
        <v>41</v>
      </c>
      <c r="AC6" s="53" t="s">
        <v>40</v>
      </c>
      <c r="AD6" s="54" t="s">
        <v>41</v>
      </c>
      <c r="AE6" s="53" t="s">
        <v>40</v>
      </c>
      <c r="AF6" s="53" t="s">
        <v>41</v>
      </c>
      <c r="AG6" s="53" t="s">
        <v>40</v>
      </c>
      <c r="AH6" s="54" t="s">
        <v>41</v>
      </c>
      <c r="AI6" s="315"/>
      <c r="AJ6" s="315"/>
      <c r="AK6" s="315"/>
      <c r="AN6" t="s">
        <v>34</v>
      </c>
      <c r="AO6" t="s">
        <v>148</v>
      </c>
      <c r="AP6" s="53" t="s">
        <v>40</v>
      </c>
      <c r="AQ6" s="53" t="s">
        <v>41</v>
      </c>
      <c r="AR6" s="53" t="s">
        <v>40</v>
      </c>
      <c r="AS6" s="54" t="s">
        <v>41</v>
      </c>
      <c r="AT6" s="53" t="s">
        <v>40</v>
      </c>
      <c r="AU6" s="53" t="s">
        <v>41</v>
      </c>
      <c r="AV6" s="53" t="s">
        <v>40</v>
      </c>
      <c r="AW6" s="54" t="s">
        <v>41</v>
      </c>
      <c r="AX6" s="315"/>
      <c r="AY6" s="315"/>
      <c r="AZ6" s="315"/>
      <c r="CP6" s="97">
        <f>K41</f>
        <v>15526.708459771668</v>
      </c>
      <c r="CQ6">
        <v>2023</v>
      </c>
      <c r="CS6" s="98"/>
      <c r="CT6" s="98"/>
      <c r="CU6" s="369">
        <v>0</v>
      </c>
      <c r="CV6" s="371">
        <v>1</v>
      </c>
      <c r="CW6" s="370">
        <v>2</v>
      </c>
      <c r="CX6" s="369">
        <v>3</v>
      </c>
      <c r="CY6" s="369">
        <v>4</v>
      </c>
    </row>
    <row r="7" spans="1:105" ht="18" thickTop="1" thickBot="1">
      <c r="B7" s="545"/>
      <c r="C7" s="546"/>
      <c r="D7" s="36" t="s">
        <v>156</v>
      </c>
      <c r="E7" s="37" t="s">
        <v>157</v>
      </c>
      <c r="H7" t="s">
        <v>191</v>
      </c>
      <c r="Y7" t="s">
        <v>197</v>
      </c>
      <c r="Z7" t="s">
        <v>198</v>
      </c>
      <c r="AA7" s="17">
        <v>1081</v>
      </c>
      <c r="AB7" s="17">
        <v>1081</v>
      </c>
      <c r="AC7" s="16">
        <v>423</v>
      </c>
      <c r="AD7" s="55">
        <v>423</v>
      </c>
      <c r="AE7" s="16">
        <v>981</v>
      </c>
      <c r="AF7" s="16">
        <v>981</v>
      </c>
      <c r="AG7" s="17">
        <v>1034</v>
      </c>
      <c r="AH7" s="43">
        <v>1034</v>
      </c>
      <c r="AI7" s="71"/>
      <c r="AJ7" s="71"/>
      <c r="AK7" s="71"/>
      <c r="AN7" t="s">
        <v>197</v>
      </c>
      <c r="AO7" t="s">
        <v>198</v>
      </c>
      <c r="AP7" s="17">
        <v>1081</v>
      </c>
      <c r="AQ7" s="17">
        <v>1081</v>
      </c>
      <c r="AR7" s="16">
        <v>423</v>
      </c>
      <c r="AS7" s="55">
        <v>423</v>
      </c>
      <c r="AT7" s="16">
        <v>981</v>
      </c>
      <c r="AU7" s="16">
        <v>981</v>
      </c>
      <c r="AV7" s="17">
        <v>1036</v>
      </c>
      <c r="AW7" s="43">
        <v>1036</v>
      </c>
      <c r="AX7" s="71"/>
      <c r="AY7" s="71"/>
      <c r="AZ7" s="71"/>
      <c r="CS7" s="98" t="s">
        <v>769</v>
      </c>
      <c r="CT7" s="98">
        <v>100000</v>
      </c>
      <c r="CU7" s="365">
        <v>0.3</v>
      </c>
      <c r="CV7" s="372">
        <v>0.7</v>
      </c>
      <c r="CW7" s="366">
        <v>0.85</v>
      </c>
      <c r="CX7" s="365">
        <v>0.95</v>
      </c>
      <c r="CY7" s="365">
        <v>1</v>
      </c>
    </row>
    <row r="8" spans="1:105" ht="18" thickTop="1" thickBot="1">
      <c r="B8" s="549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  <c r="Y8" s="56" t="s">
        <v>197</v>
      </c>
      <c r="Z8" s="20" t="s">
        <v>199</v>
      </c>
      <c r="AA8" s="17">
        <v>1075</v>
      </c>
      <c r="AB8" s="17">
        <v>1075</v>
      </c>
      <c r="AC8" s="16">
        <v>420</v>
      </c>
      <c r="AD8" s="55">
        <v>420</v>
      </c>
      <c r="AE8" s="16">
        <v>975</v>
      </c>
      <c r="AF8" s="16">
        <v>975</v>
      </c>
      <c r="AG8" s="17">
        <v>1028</v>
      </c>
      <c r="AH8" s="43">
        <v>1028</v>
      </c>
      <c r="AI8" s="71"/>
      <c r="AJ8" s="71"/>
      <c r="AK8" s="71"/>
      <c r="AN8" s="56" t="s">
        <v>197</v>
      </c>
      <c r="AO8" s="20" t="s">
        <v>199</v>
      </c>
      <c r="AP8" s="17">
        <v>1075</v>
      </c>
      <c r="AQ8" s="17">
        <v>1075</v>
      </c>
      <c r="AR8" s="16">
        <v>420</v>
      </c>
      <c r="AS8" s="55">
        <v>420</v>
      </c>
      <c r="AT8" s="16">
        <v>975</v>
      </c>
      <c r="AU8" s="16">
        <v>975</v>
      </c>
      <c r="AV8" s="17">
        <v>1030</v>
      </c>
      <c r="AW8" s="43">
        <v>1030</v>
      </c>
      <c r="AX8" s="71"/>
      <c r="AY8" s="71"/>
      <c r="AZ8" s="71"/>
      <c r="CS8" s="98" t="s">
        <v>770</v>
      </c>
      <c r="CT8" s="98">
        <v>50000</v>
      </c>
      <c r="CU8" s="365">
        <v>0.5</v>
      </c>
      <c r="CV8" s="372">
        <v>0.8</v>
      </c>
      <c r="CW8" s="366">
        <v>0.9</v>
      </c>
      <c r="CX8" s="365">
        <v>1</v>
      </c>
      <c r="CY8" s="365">
        <v>1</v>
      </c>
    </row>
    <row r="9" spans="1:105" ht="18" thickTop="1" thickBot="1">
      <c r="B9" s="536"/>
      <c r="C9" s="46" t="s">
        <v>166</v>
      </c>
      <c r="D9" s="46">
        <v>1.59</v>
      </c>
      <c r="E9" s="47">
        <v>1.7</v>
      </c>
      <c r="Y9" t="s">
        <v>197</v>
      </c>
      <c r="Z9" t="s">
        <v>200</v>
      </c>
      <c r="AA9" s="16">
        <v>881</v>
      </c>
      <c r="AB9" s="16">
        <v>881</v>
      </c>
      <c r="AC9" s="16">
        <v>344</v>
      </c>
      <c r="AD9" s="55">
        <v>344</v>
      </c>
      <c r="AE9" s="16">
        <v>799</v>
      </c>
      <c r="AF9" s="16">
        <v>799</v>
      </c>
      <c r="AG9" s="16">
        <v>842</v>
      </c>
      <c r="AH9" s="55">
        <v>842</v>
      </c>
      <c r="AI9" s="71"/>
      <c r="AJ9" s="71"/>
      <c r="AK9" s="71"/>
      <c r="AN9" t="s">
        <v>197</v>
      </c>
      <c r="AO9" t="s">
        <v>200</v>
      </c>
      <c r="AP9" s="16">
        <v>881</v>
      </c>
      <c r="AQ9" s="16">
        <v>881</v>
      </c>
      <c r="AR9" s="16">
        <v>344</v>
      </c>
      <c r="AS9" s="55">
        <v>344</v>
      </c>
      <c r="AT9" s="16">
        <v>799</v>
      </c>
      <c r="AU9" s="16">
        <v>799</v>
      </c>
      <c r="AV9" s="16">
        <v>844</v>
      </c>
      <c r="AW9" s="55">
        <v>844</v>
      </c>
      <c r="AX9" s="71"/>
      <c r="AY9" s="71"/>
      <c r="AZ9" s="71"/>
      <c r="CS9" s="306" t="s">
        <v>771</v>
      </c>
      <c r="CT9" s="306">
        <v>49999</v>
      </c>
      <c r="CU9" s="366">
        <v>0.7</v>
      </c>
      <c r="CV9" s="373">
        <v>0.9</v>
      </c>
      <c r="CW9" s="367">
        <v>1</v>
      </c>
      <c r="CX9" s="366">
        <v>1</v>
      </c>
      <c r="CY9" s="366">
        <v>1</v>
      </c>
    </row>
    <row r="10" spans="1:105" ht="18" thickTop="1" thickBot="1">
      <c r="B10" s="535" t="s">
        <v>13</v>
      </c>
      <c r="C10" s="46" t="s">
        <v>9</v>
      </c>
      <c r="D10" s="46">
        <v>1.38</v>
      </c>
      <c r="E10" s="47">
        <v>1.48</v>
      </c>
      <c r="Y10" t="s">
        <v>197</v>
      </c>
      <c r="Z10" t="s">
        <v>201</v>
      </c>
      <c r="AA10" s="16">
        <v>898</v>
      </c>
      <c r="AB10" s="16">
        <v>898</v>
      </c>
      <c r="AC10" s="16">
        <v>351</v>
      </c>
      <c r="AD10" s="55">
        <v>351</v>
      </c>
      <c r="AE10" s="16">
        <v>815</v>
      </c>
      <c r="AF10" s="16">
        <v>815</v>
      </c>
      <c r="AG10" s="16">
        <v>859</v>
      </c>
      <c r="AH10" s="55">
        <v>859</v>
      </c>
      <c r="AI10" s="68"/>
      <c r="AJ10" s="68"/>
      <c r="AK10" s="68"/>
      <c r="AN10" t="s">
        <v>197</v>
      </c>
      <c r="AO10" t="s">
        <v>201</v>
      </c>
      <c r="AP10" s="16">
        <v>898</v>
      </c>
      <c r="AQ10" s="16">
        <v>898</v>
      </c>
      <c r="AR10" s="16">
        <v>351</v>
      </c>
      <c r="AS10" s="55">
        <v>351</v>
      </c>
      <c r="AT10" s="16">
        <v>815</v>
      </c>
      <c r="AU10" s="16">
        <v>815</v>
      </c>
      <c r="AV10" s="16">
        <v>861</v>
      </c>
      <c r="AW10" s="55">
        <v>861</v>
      </c>
      <c r="AX10" s="68"/>
      <c r="AY10" s="68"/>
      <c r="AZ10" s="68"/>
    </row>
    <row r="11" spans="1:105" ht="18" thickTop="1" thickBot="1">
      <c r="B11" s="536"/>
      <c r="C11" s="46" t="s">
        <v>10</v>
      </c>
      <c r="D11" s="46">
        <v>1.6</v>
      </c>
      <c r="E11" s="47">
        <v>1.56</v>
      </c>
      <c r="Y11" t="s">
        <v>135</v>
      </c>
      <c r="Z11" t="s">
        <v>12</v>
      </c>
      <c r="AA11" s="16">
        <v>112</v>
      </c>
      <c r="AB11" s="16">
        <v>112</v>
      </c>
      <c r="AC11" s="16">
        <v>44</v>
      </c>
      <c r="AD11" s="55">
        <v>44</v>
      </c>
      <c r="AE11" s="16">
        <v>100</v>
      </c>
      <c r="AF11" s="16">
        <v>100</v>
      </c>
      <c r="AG11" s="16">
        <v>106</v>
      </c>
      <c r="AH11" s="55">
        <v>106</v>
      </c>
      <c r="AI11" s="69"/>
      <c r="AJ11" s="69"/>
      <c r="AK11" s="69"/>
      <c r="AN11" t="s">
        <v>135</v>
      </c>
      <c r="AO11" t="s">
        <v>12</v>
      </c>
      <c r="AP11" s="16">
        <v>112</v>
      </c>
      <c r="AQ11" s="16">
        <v>112</v>
      </c>
      <c r="AR11" s="16">
        <v>44</v>
      </c>
      <c r="AS11" s="55">
        <v>44</v>
      </c>
      <c r="AT11" s="16">
        <v>100</v>
      </c>
      <c r="AU11" s="16">
        <v>100</v>
      </c>
      <c r="AV11" s="16">
        <v>106</v>
      </c>
      <c r="AW11" s="55">
        <v>106</v>
      </c>
      <c r="AX11" s="69"/>
      <c r="AY11" s="69"/>
      <c r="AZ11" s="69"/>
    </row>
    <row r="12" spans="1:105" ht="17.5" thickTop="1">
      <c r="B12" s="535" t="s">
        <v>167</v>
      </c>
      <c r="C12" s="46" t="s">
        <v>9</v>
      </c>
      <c r="D12" s="46">
        <v>1.25</v>
      </c>
      <c r="E12" s="47">
        <v>1.25</v>
      </c>
      <c r="AA12" s="571" t="s">
        <v>286</v>
      </c>
      <c r="AB12" s="572"/>
      <c r="AC12" s="571" t="s">
        <v>287</v>
      </c>
      <c r="AD12" s="573"/>
      <c r="AP12" s="571" t="s">
        <v>286</v>
      </c>
      <c r="AQ12" s="572"/>
      <c r="AR12" s="571" t="s">
        <v>287</v>
      </c>
      <c r="AS12" s="573"/>
    </row>
    <row r="13" spans="1:105" ht="17.5" thickBot="1">
      <c r="B13" s="536"/>
      <c r="C13" s="46" t="s">
        <v>10</v>
      </c>
      <c r="D13" s="46">
        <v>1.47</v>
      </c>
      <c r="E13" s="47">
        <v>1.73</v>
      </c>
      <c r="AA13" s="53" t="s">
        <v>40</v>
      </c>
      <c r="AB13" s="53" t="s">
        <v>41</v>
      </c>
      <c r="AC13" s="53" t="s">
        <v>40</v>
      </c>
      <c r="AD13" s="54" t="s">
        <v>41</v>
      </c>
      <c r="AP13" s="53" t="s">
        <v>40</v>
      </c>
      <c r="AQ13" s="53" t="s">
        <v>41</v>
      </c>
      <c r="AR13" s="53" t="s">
        <v>40</v>
      </c>
      <c r="AS13" s="54" t="s">
        <v>41</v>
      </c>
    </row>
    <row r="14" spans="1:105" ht="18" thickTop="1" thickBot="1">
      <c r="B14" s="535" t="s">
        <v>168</v>
      </c>
      <c r="C14" s="46" t="s">
        <v>9</v>
      </c>
      <c r="D14" s="46">
        <v>1.35</v>
      </c>
      <c r="E14" s="47">
        <v>1.4</v>
      </c>
      <c r="Y14" t="s">
        <v>136</v>
      </c>
      <c r="Z14" t="s">
        <v>13</v>
      </c>
      <c r="AA14" s="16">
        <v>345</v>
      </c>
      <c r="AB14" s="16">
        <v>345</v>
      </c>
      <c r="AC14" s="17">
        <v>3650</v>
      </c>
      <c r="AD14" s="43">
        <v>3650</v>
      </c>
      <c r="AE14" s="69"/>
      <c r="AF14" s="69"/>
      <c r="AG14" s="68"/>
      <c r="AH14" s="68"/>
      <c r="AI14" s="68"/>
      <c r="AJ14" s="68"/>
      <c r="AK14" s="68"/>
      <c r="AN14" t="s">
        <v>136</v>
      </c>
      <c r="AO14" t="s">
        <v>13</v>
      </c>
      <c r="AP14" s="16">
        <v>345</v>
      </c>
      <c r="AQ14" s="16">
        <v>345</v>
      </c>
      <c r="AR14" s="17">
        <v>3657</v>
      </c>
      <c r="AS14" s="43">
        <v>3657</v>
      </c>
      <c r="AT14" s="69"/>
      <c r="AU14" s="69"/>
      <c r="AV14" s="68"/>
      <c r="AW14" s="68"/>
      <c r="AX14" s="68"/>
      <c r="AY14" s="68"/>
      <c r="AZ14" s="68"/>
    </row>
    <row r="15" spans="1:105" ht="18" thickTop="1" thickBot="1">
      <c r="B15" s="536"/>
      <c r="C15" s="46" t="s">
        <v>10</v>
      </c>
      <c r="D15" s="46">
        <v>1.6</v>
      </c>
      <c r="E15" s="47">
        <v>1.73</v>
      </c>
      <c r="Y15" t="s">
        <v>206</v>
      </c>
      <c r="Z15" t="s">
        <v>167</v>
      </c>
      <c r="AA15" s="17">
        <v>1318</v>
      </c>
      <c r="AB15" s="17">
        <v>1318</v>
      </c>
      <c r="AC15" s="17">
        <v>8098</v>
      </c>
      <c r="AD15" s="43">
        <v>8098</v>
      </c>
      <c r="AE15" s="68"/>
      <c r="AF15" s="68"/>
      <c r="AG15" s="68"/>
      <c r="AH15" s="68"/>
      <c r="AI15" s="68"/>
      <c r="AJ15" s="68"/>
      <c r="AK15" s="68"/>
      <c r="AN15" t="s">
        <v>206</v>
      </c>
      <c r="AO15" t="s">
        <v>167</v>
      </c>
      <c r="AP15" s="17">
        <v>1318</v>
      </c>
      <c r="AQ15" s="17">
        <v>1318</v>
      </c>
      <c r="AR15" s="17">
        <v>8113</v>
      </c>
      <c r="AS15" s="43">
        <v>8113</v>
      </c>
      <c r="AT15" s="68"/>
      <c r="AU15" s="68"/>
      <c r="AV15" s="68"/>
      <c r="AW15" s="68"/>
      <c r="AX15" s="68"/>
      <c r="AY15" s="68"/>
      <c r="AZ15" s="68"/>
    </row>
    <row r="16" spans="1:105" ht="18" thickTop="1" thickBot="1">
      <c r="B16" s="535" t="s">
        <v>47</v>
      </c>
      <c r="C16" s="46" t="s">
        <v>9</v>
      </c>
      <c r="D16" s="46">
        <v>1.33</v>
      </c>
      <c r="E16" s="47">
        <v>1.55</v>
      </c>
      <c r="Y16" t="s">
        <v>207</v>
      </c>
      <c r="Z16" t="s">
        <v>168</v>
      </c>
      <c r="AA16" s="17">
        <v>4945</v>
      </c>
      <c r="AB16" s="17">
        <v>4945</v>
      </c>
      <c r="AC16" s="17">
        <v>8833</v>
      </c>
      <c r="AD16" s="43">
        <v>8833</v>
      </c>
      <c r="AE16" s="68"/>
      <c r="AF16" s="68"/>
      <c r="AG16" s="68"/>
      <c r="AH16" s="68"/>
      <c r="AI16" s="68"/>
      <c r="AJ16" s="68"/>
      <c r="AK16" s="68"/>
      <c r="AN16" t="s">
        <v>207</v>
      </c>
      <c r="AO16" t="s">
        <v>168</v>
      </c>
      <c r="AP16" s="17">
        <v>4945</v>
      </c>
      <c r="AQ16" s="17">
        <v>4945</v>
      </c>
      <c r="AR16" s="17">
        <v>8849</v>
      </c>
      <c r="AS16" s="43">
        <v>8849</v>
      </c>
      <c r="AT16" s="68"/>
      <c r="AU16" s="68"/>
      <c r="AV16" s="68"/>
      <c r="AW16" s="68"/>
      <c r="AX16" s="68"/>
      <c r="AY16" s="68"/>
      <c r="AZ16" s="68"/>
    </row>
    <row r="17" spans="1:75" ht="18" thickTop="1" thickBot="1">
      <c r="B17" s="536"/>
      <c r="C17" s="46" t="s">
        <v>10</v>
      </c>
      <c r="D17" s="46">
        <v>1.43</v>
      </c>
      <c r="E17" s="47">
        <v>1.54</v>
      </c>
      <c r="Y17" t="s">
        <v>208</v>
      </c>
      <c r="Z17" t="s">
        <v>47</v>
      </c>
      <c r="AA17" s="16">
        <v>848</v>
      </c>
      <c r="AB17" s="16">
        <v>848</v>
      </c>
      <c r="AC17" s="17">
        <v>2550</v>
      </c>
      <c r="AD17" s="43">
        <v>2550</v>
      </c>
      <c r="AE17" s="68"/>
      <c r="AF17" s="68"/>
      <c r="AG17" s="69"/>
      <c r="AH17" s="69"/>
      <c r="AI17" s="68"/>
      <c r="AJ17" s="68"/>
      <c r="AK17" s="68"/>
      <c r="AN17" t="s">
        <v>208</v>
      </c>
      <c r="AO17" t="s">
        <v>47</v>
      </c>
      <c r="AP17" s="16">
        <v>848</v>
      </c>
      <c r="AQ17" s="16">
        <v>848</v>
      </c>
      <c r="AR17" s="17">
        <v>2554</v>
      </c>
      <c r="AS17" s="43">
        <v>2554</v>
      </c>
      <c r="AT17" s="68"/>
      <c r="AU17" s="68"/>
      <c r="AV17" s="69"/>
      <c r="AW17" s="69"/>
      <c r="AX17" s="68"/>
      <c r="AY17" s="68"/>
      <c r="AZ17" s="68"/>
    </row>
    <row r="18" spans="1:75" ht="18" thickTop="1" thickBot="1">
      <c r="B18" s="535" t="s">
        <v>169</v>
      </c>
      <c r="C18" s="46" t="s">
        <v>9</v>
      </c>
      <c r="D18" s="46">
        <v>1.33</v>
      </c>
      <c r="E18" s="47">
        <v>1.55</v>
      </c>
      <c r="Y18" t="s">
        <v>209</v>
      </c>
      <c r="Z18" t="s">
        <v>169</v>
      </c>
      <c r="AA18" s="17">
        <v>1567</v>
      </c>
      <c r="AB18" s="17">
        <v>1567</v>
      </c>
      <c r="AC18" s="17">
        <v>6410</v>
      </c>
      <c r="AD18" s="43">
        <v>6410</v>
      </c>
      <c r="AE18" s="68"/>
      <c r="AF18" s="68"/>
      <c r="AG18" s="68"/>
      <c r="AH18" s="68"/>
      <c r="AI18" s="68"/>
      <c r="AJ18" s="68"/>
      <c r="AK18" s="68"/>
      <c r="AN18" t="s">
        <v>209</v>
      </c>
      <c r="AO18" t="s">
        <v>169</v>
      </c>
      <c r="AP18" s="17">
        <v>1567</v>
      </c>
      <c r="AQ18" s="17">
        <v>1567</v>
      </c>
      <c r="AR18" s="17">
        <v>6422</v>
      </c>
      <c r="AS18" s="43">
        <v>6422</v>
      </c>
      <c r="AT18" s="68"/>
      <c r="AU18" s="68"/>
      <c r="AV18" s="68"/>
      <c r="AW18" s="68"/>
      <c r="AX18" s="68"/>
      <c r="AY18" s="68"/>
      <c r="AZ18" s="68"/>
    </row>
    <row r="19" spans="1:75" ht="18" thickTop="1" thickBot="1">
      <c r="B19" s="536"/>
      <c r="C19" s="46" t="s">
        <v>10</v>
      </c>
      <c r="D19" s="46">
        <v>1.43</v>
      </c>
      <c r="E19" s="47">
        <v>1.54</v>
      </c>
      <c r="Y19" t="s">
        <v>210</v>
      </c>
      <c r="Z19" t="s">
        <v>170</v>
      </c>
      <c r="AA19" s="17">
        <v>1296</v>
      </c>
      <c r="AB19" s="17">
        <v>1296</v>
      </c>
      <c r="AC19" s="17">
        <v>13545</v>
      </c>
      <c r="AD19" s="43">
        <v>13545</v>
      </c>
      <c r="AE19" s="68"/>
      <c r="AF19" s="68"/>
      <c r="AG19" s="68"/>
      <c r="AH19" s="68"/>
      <c r="AI19" s="68"/>
      <c r="AJ19" s="68"/>
      <c r="AK19" s="68"/>
      <c r="AN19" t="s">
        <v>210</v>
      </c>
      <c r="AO19" t="s">
        <v>170</v>
      </c>
      <c r="AP19" s="17">
        <v>1296</v>
      </c>
      <c r="AQ19" s="17">
        <v>1296</v>
      </c>
      <c r="AR19" s="17">
        <v>13569</v>
      </c>
      <c r="AS19" s="43">
        <v>13569</v>
      </c>
      <c r="AT19" s="68"/>
      <c r="AU19" s="68"/>
      <c r="AV19" s="68"/>
      <c r="AW19" s="68"/>
      <c r="AX19" s="68"/>
      <c r="AY19" s="68"/>
      <c r="AZ19" s="68"/>
    </row>
    <row r="20" spans="1:75" ht="18" thickTop="1" thickBot="1">
      <c r="B20" s="535" t="s">
        <v>170</v>
      </c>
      <c r="C20" s="46" t="s">
        <v>9</v>
      </c>
      <c r="D20" s="46">
        <v>1.33</v>
      </c>
      <c r="E20" s="47">
        <v>1.55</v>
      </c>
      <c r="Y20" t="s">
        <v>211</v>
      </c>
      <c r="Z20" t="s">
        <v>171</v>
      </c>
      <c r="AA20" s="16">
        <v>44</v>
      </c>
      <c r="AB20" s="16">
        <v>44</v>
      </c>
      <c r="AC20" s="16">
        <v>45</v>
      </c>
      <c r="AD20" s="16">
        <v>45</v>
      </c>
      <c r="AE20" s="69"/>
      <c r="AF20" s="69"/>
      <c r="AG20" s="69"/>
      <c r="AH20" s="69"/>
      <c r="AI20" s="69"/>
      <c r="AJ20" s="69"/>
      <c r="AK20" s="69"/>
      <c r="AN20" t="s">
        <v>211</v>
      </c>
      <c r="AO20" t="s">
        <v>171</v>
      </c>
      <c r="AP20" s="16">
        <v>44</v>
      </c>
      <c r="AQ20" s="16">
        <v>44</v>
      </c>
      <c r="AR20" s="16">
        <v>45</v>
      </c>
      <c r="AS20" s="16">
        <v>45</v>
      </c>
      <c r="AT20" s="69"/>
      <c r="AU20" s="69"/>
      <c r="AV20" s="69"/>
      <c r="AW20" s="69"/>
      <c r="AX20" s="69"/>
      <c r="AY20" s="69"/>
      <c r="AZ20" s="69"/>
    </row>
    <row r="21" spans="1:75" ht="17.5" thickTop="1">
      <c r="B21" s="536"/>
      <c r="C21" s="46" t="s">
        <v>10</v>
      </c>
      <c r="D21" s="46">
        <v>1.43</v>
      </c>
      <c r="E21" s="47">
        <v>1.54</v>
      </c>
      <c r="Y21" t="s">
        <v>778</v>
      </c>
      <c r="Z21" t="s">
        <v>26</v>
      </c>
      <c r="AA21" s="56">
        <f t="shared" ref="AA21:AH21" si="0">SUM(AA7:AA20)</f>
        <v>14410</v>
      </c>
      <c r="AB21" s="56">
        <f t="shared" si="0"/>
        <v>14410</v>
      </c>
      <c r="AC21" s="56">
        <f t="shared" si="0"/>
        <v>44713</v>
      </c>
      <c r="AD21" s="56">
        <f t="shared" si="0"/>
        <v>44713</v>
      </c>
      <c r="AE21" s="56">
        <f t="shared" si="0"/>
        <v>3670</v>
      </c>
      <c r="AF21" s="56">
        <f t="shared" si="0"/>
        <v>3670</v>
      </c>
      <c r="AG21" s="56">
        <f t="shared" si="0"/>
        <v>3869</v>
      </c>
      <c r="AH21" s="56">
        <f t="shared" si="0"/>
        <v>3869</v>
      </c>
      <c r="AI21" s="56"/>
      <c r="AJ21" s="56"/>
      <c r="AK21" s="56"/>
      <c r="AN21" t="s">
        <v>26</v>
      </c>
      <c r="AO21" t="s">
        <v>26</v>
      </c>
      <c r="AP21" s="56">
        <f t="shared" ref="AP21:AW21" si="1">SUM(AP7:AP20)</f>
        <v>14410</v>
      </c>
      <c r="AQ21" s="56">
        <f t="shared" si="1"/>
        <v>14410</v>
      </c>
      <c r="AR21" s="56">
        <f t="shared" si="1"/>
        <v>44791</v>
      </c>
      <c r="AS21" s="56">
        <f t="shared" si="1"/>
        <v>44791</v>
      </c>
      <c r="AT21" s="56">
        <f t="shared" si="1"/>
        <v>3670</v>
      </c>
      <c r="AU21" s="56">
        <f t="shared" si="1"/>
        <v>3670</v>
      </c>
      <c r="AV21" s="56">
        <f t="shared" si="1"/>
        <v>3877</v>
      </c>
      <c r="AW21" s="56">
        <f t="shared" si="1"/>
        <v>3877</v>
      </c>
      <c r="AX21" s="56"/>
      <c r="AY21" s="56"/>
      <c r="AZ21" s="56"/>
      <c r="BF21">
        <v>0.01</v>
      </c>
    </row>
    <row r="22" spans="1:75">
      <c r="B22" s="535" t="s">
        <v>171</v>
      </c>
      <c r="C22" s="46" t="s">
        <v>9</v>
      </c>
      <c r="D22" s="46">
        <v>1.27</v>
      </c>
      <c r="E22" s="47">
        <v>1.35</v>
      </c>
    </row>
    <row r="23" spans="1:75" ht="17.5" thickBot="1">
      <c r="B23" s="537"/>
      <c r="C23" s="48" t="s">
        <v>10</v>
      </c>
      <c r="D23" s="48">
        <v>1.27</v>
      </c>
      <c r="E23" s="49">
        <v>1.35</v>
      </c>
    </row>
    <row r="24" spans="1:75" ht="31" thickTop="1" thickBot="1">
      <c r="B24" s="56"/>
      <c r="C24" s="56"/>
      <c r="D24" s="56"/>
      <c r="E24" s="56"/>
      <c r="Y24" s="254">
        <v>2025</v>
      </c>
      <c r="AM24" s="254">
        <v>2028</v>
      </c>
    </row>
    <row r="25" spans="1:75" ht="18" thickTop="1" thickBot="1">
      <c r="L25" s="64" t="s">
        <v>196</v>
      </c>
      <c r="O25" t="s">
        <v>215</v>
      </c>
      <c r="AA25" s="532" t="s">
        <v>156</v>
      </c>
      <c r="AB25" s="533"/>
      <c r="AC25" s="534" t="s">
        <v>157</v>
      </c>
      <c r="AD25" s="534"/>
      <c r="AE25" s="534" t="s">
        <v>158</v>
      </c>
      <c r="AF25" s="534"/>
      <c r="AG25" s="534" t="s">
        <v>159</v>
      </c>
      <c r="AH25" s="534"/>
      <c r="AI25" s="534" t="s">
        <v>160</v>
      </c>
      <c r="AJ25" s="534"/>
      <c r="AK25" s="534"/>
      <c r="AP25" s="532" t="s">
        <v>156</v>
      </c>
      <c r="AQ25" s="533"/>
      <c r="AR25" s="534" t="s">
        <v>157</v>
      </c>
      <c r="AS25" s="534"/>
      <c r="AT25" s="534" t="s">
        <v>158</v>
      </c>
      <c r="AU25" s="534"/>
      <c r="AV25" s="534" t="s">
        <v>159</v>
      </c>
      <c r="AW25" s="534"/>
      <c r="AX25" s="534" t="s">
        <v>160</v>
      </c>
      <c r="AY25" s="534"/>
      <c r="AZ25" s="534"/>
      <c r="BG25" s="569" t="s">
        <v>39</v>
      </c>
      <c r="BH25" s="569"/>
      <c r="BI25" s="570"/>
      <c r="BJ25" s="332" t="s">
        <v>156</v>
      </c>
      <c r="BK25" s="332" t="s">
        <v>157</v>
      </c>
      <c r="BL25" s="332" t="s">
        <v>158</v>
      </c>
      <c r="BM25" s="332" t="s">
        <v>159</v>
      </c>
      <c r="BN25" s="333" t="s">
        <v>11</v>
      </c>
      <c r="BP25" s="569" t="s">
        <v>39</v>
      </c>
      <c r="BQ25" s="569"/>
      <c r="BR25" s="570"/>
      <c r="BS25" s="332" t="s">
        <v>156</v>
      </c>
      <c r="BT25" s="332" t="s">
        <v>157</v>
      </c>
      <c r="BU25" s="332" t="s">
        <v>158</v>
      </c>
      <c r="BV25" s="332" t="s">
        <v>159</v>
      </c>
      <c r="BW25" s="333" t="s">
        <v>11</v>
      </c>
    </row>
    <row r="26" spans="1:75" ht="30.5" thickTop="1">
      <c r="A26" s="254">
        <v>2025</v>
      </c>
      <c r="Y26" t="s">
        <v>34</v>
      </c>
      <c r="Z26" t="s">
        <v>148</v>
      </c>
      <c r="AA26" s="315" t="s">
        <v>40</v>
      </c>
      <c r="AB26" s="315" t="s">
        <v>41</v>
      </c>
      <c r="AC26" s="315" t="s">
        <v>40</v>
      </c>
      <c r="AD26" s="315" t="s">
        <v>41</v>
      </c>
      <c r="AE26" s="315" t="s">
        <v>40</v>
      </c>
      <c r="AF26" s="315" t="s">
        <v>41</v>
      </c>
      <c r="AG26" s="315" t="s">
        <v>40</v>
      </c>
      <c r="AH26" s="315" t="s">
        <v>41</v>
      </c>
      <c r="AI26" s="315" t="s">
        <v>40</v>
      </c>
      <c r="AJ26" s="315" t="s">
        <v>41</v>
      </c>
      <c r="AK26" s="315" t="s">
        <v>21</v>
      </c>
      <c r="AN26" t="s">
        <v>34</v>
      </c>
      <c r="AO26" t="s">
        <v>148</v>
      </c>
      <c r="AP26" s="315" t="s">
        <v>40</v>
      </c>
      <c r="AQ26" s="315" t="s">
        <v>41</v>
      </c>
      <c r="AR26" s="315" t="s">
        <v>40</v>
      </c>
      <c r="AS26" s="315" t="s">
        <v>41</v>
      </c>
      <c r="AT26" s="315" t="s">
        <v>40</v>
      </c>
      <c r="AU26" s="315" t="s">
        <v>41</v>
      </c>
      <c r="AV26" s="315" t="s">
        <v>40</v>
      </c>
      <c r="AW26" s="315" t="s">
        <v>41</v>
      </c>
      <c r="AX26" s="315" t="s">
        <v>40</v>
      </c>
      <c r="AY26" s="315" t="s">
        <v>41</v>
      </c>
      <c r="AZ26" s="315" t="s">
        <v>21</v>
      </c>
      <c r="BG26" s="553" t="s">
        <v>683</v>
      </c>
      <c r="BH26" s="556" t="s">
        <v>247</v>
      </c>
      <c r="BI26" s="44" t="s">
        <v>44</v>
      </c>
      <c r="BJ26" s="44">
        <v>40.4</v>
      </c>
      <c r="BK26" s="44">
        <v>6</v>
      </c>
      <c r="BL26" s="44">
        <v>40</v>
      </c>
      <c r="BM26" s="44">
        <v>0</v>
      </c>
      <c r="BN26" s="45">
        <v>13.6</v>
      </c>
      <c r="BP26" s="553" t="s">
        <v>684</v>
      </c>
      <c r="BQ26" s="556" t="s">
        <v>247</v>
      </c>
      <c r="BR26" s="46" t="s">
        <v>44</v>
      </c>
      <c r="BS26" s="46">
        <v>40.4</v>
      </c>
      <c r="BT26" s="46">
        <v>6</v>
      </c>
      <c r="BU26" s="46">
        <v>40.1</v>
      </c>
      <c r="BV26" s="46">
        <v>0</v>
      </c>
      <c r="BW26" s="47">
        <v>13.5</v>
      </c>
    </row>
    <row r="27" spans="1:75">
      <c r="C27" s="532" t="s">
        <v>156</v>
      </c>
      <c r="D27" s="533"/>
      <c r="E27" s="534" t="s">
        <v>157</v>
      </c>
      <c r="F27" s="534"/>
      <c r="G27" s="534" t="s">
        <v>158</v>
      </c>
      <c r="H27" s="534"/>
      <c r="I27" s="534" t="s">
        <v>159</v>
      </c>
      <c r="J27" s="534"/>
      <c r="K27" s="534" t="s">
        <v>160</v>
      </c>
      <c r="L27" s="534"/>
      <c r="M27" s="534"/>
      <c r="Y27" t="s">
        <v>197</v>
      </c>
      <c r="Z27" t="s">
        <v>198</v>
      </c>
      <c r="AA27" s="314">
        <f t="shared" ref="AA27:AB31" si="2">AA7*$BJ$26*$BF$21 + AC7*$BJ$27*$BF$21+AE7*$BJ$28*$BF$21</f>
        <v>739.61</v>
      </c>
      <c r="AB27" s="314">
        <f t="shared" si="2"/>
        <v>739.61</v>
      </c>
      <c r="AC27" s="314">
        <f t="shared" ref="AC27:AD31" si="3">AA7*$BK$26*$BF$21 + AC7*$BK$27*$BF$21+AE7*$BK$28*$BF$21</f>
        <v>144.66300000000001</v>
      </c>
      <c r="AD27" s="314">
        <f t="shared" si="3"/>
        <v>144.66300000000001</v>
      </c>
      <c r="AE27" s="314">
        <f t="shared" ref="AE27:AF31" si="4">AA7*$BL$26*$BF$21 + AC7*$BL$27*$BF$21+AE7*$BL$28*$BF$21</f>
        <v>995.36800000000005</v>
      </c>
      <c r="AF27" s="314">
        <f t="shared" si="4"/>
        <v>995.36800000000005</v>
      </c>
      <c r="AG27" s="314"/>
      <c r="AH27" s="314"/>
      <c r="AI27" s="71"/>
      <c r="AJ27" s="71"/>
      <c r="AK27" s="71"/>
      <c r="AN27" t="s">
        <v>197</v>
      </c>
      <c r="AO27" t="s">
        <v>198</v>
      </c>
      <c r="AP27" s="314">
        <f t="shared" ref="AP27:AQ31" si="5">AP7*$BJ$26*$BF$21 + AR7*$BJ$27*$BF$21+AT7*$BJ$28*$BF$21</f>
        <v>739.61</v>
      </c>
      <c r="AQ27" s="314">
        <f t="shared" si="5"/>
        <v>739.61</v>
      </c>
      <c r="AR27" s="314">
        <f t="shared" ref="AR27:AS31" si="6">AP7*$BK$26*$BF$21 + AR7*$BK$27*$BF$21+AT7*$BK$28*$BF$21</f>
        <v>144.66300000000001</v>
      </c>
      <c r="AS27" s="314">
        <f t="shared" si="6"/>
        <v>144.66300000000001</v>
      </c>
      <c r="AT27" s="314">
        <f t="shared" ref="AT27:AU31" si="7">AP7*$BL$26*$BF$21 + AR7*$BL$27*$BF$21+AT7*$BL$28*$BF$21</f>
        <v>995.36800000000005</v>
      </c>
      <c r="AU27" s="314">
        <f t="shared" si="7"/>
        <v>995.36800000000005</v>
      </c>
      <c r="AV27" s="314"/>
      <c r="AW27" s="314"/>
      <c r="AX27" s="71"/>
      <c r="AY27" s="71"/>
      <c r="AZ27" s="71"/>
      <c r="BG27" s="554"/>
      <c r="BH27" s="557"/>
      <c r="BI27" s="46" t="s">
        <v>45</v>
      </c>
      <c r="BJ27" s="46">
        <v>6.9</v>
      </c>
      <c r="BK27" s="46">
        <v>2.4</v>
      </c>
      <c r="BL27" s="46">
        <v>38.700000000000003</v>
      </c>
      <c r="BM27" s="46">
        <v>0</v>
      </c>
      <c r="BN27" s="47">
        <v>52</v>
      </c>
      <c r="BP27" s="554"/>
      <c r="BQ27" s="557"/>
      <c r="BR27" s="46" t="s">
        <v>45</v>
      </c>
      <c r="BS27" s="46">
        <v>6.9</v>
      </c>
      <c r="BT27" s="46">
        <v>2.4</v>
      </c>
      <c r="BU27" s="46">
        <v>38.799999999999997</v>
      </c>
      <c r="BV27" s="46">
        <v>0</v>
      </c>
      <c r="BW27" s="47">
        <v>51.9</v>
      </c>
    </row>
    <row r="28" spans="1:75">
      <c r="A28" t="s">
        <v>34</v>
      </c>
      <c r="B28" t="s">
        <v>148</v>
      </c>
      <c r="C28" s="294" t="s">
        <v>40</v>
      </c>
      <c r="D28" s="294" t="s">
        <v>41</v>
      </c>
      <c r="E28" s="294" t="s">
        <v>40</v>
      </c>
      <c r="F28" s="294" t="s">
        <v>41</v>
      </c>
      <c r="G28" s="294" t="s">
        <v>40</v>
      </c>
      <c r="H28" s="294" t="s">
        <v>41</v>
      </c>
      <c r="I28" s="294" t="s">
        <v>40</v>
      </c>
      <c r="J28" s="294" t="s">
        <v>41</v>
      </c>
      <c r="K28" s="294" t="s">
        <v>40</v>
      </c>
      <c r="L28" s="294" t="s">
        <v>41</v>
      </c>
      <c r="M28" s="294" t="s">
        <v>21</v>
      </c>
      <c r="Y28" s="56" t="s">
        <v>197</v>
      </c>
      <c r="Z28" s="20" t="s">
        <v>199</v>
      </c>
      <c r="AA28" s="314">
        <f t="shared" si="2"/>
        <v>735.30500000000006</v>
      </c>
      <c r="AB28" s="314">
        <f t="shared" si="2"/>
        <v>735.30500000000006</v>
      </c>
      <c r="AC28" s="314">
        <f t="shared" si="3"/>
        <v>143.80500000000001</v>
      </c>
      <c r="AD28" s="314">
        <f t="shared" si="3"/>
        <v>143.80500000000001</v>
      </c>
      <c r="AE28" s="314">
        <f t="shared" si="4"/>
        <v>989.36500000000001</v>
      </c>
      <c r="AF28" s="314">
        <f t="shared" si="4"/>
        <v>989.36500000000001</v>
      </c>
      <c r="AG28" s="314"/>
      <c r="AH28" s="314"/>
      <c r="AI28" s="71"/>
      <c r="AJ28" s="71"/>
      <c r="AK28" s="71"/>
      <c r="AN28" s="56" t="s">
        <v>197</v>
      </c>
      <c r="AO28" s="20" t="s">
        <v>199</v>
      </c>
      <c r="AP28" s="314">
        <f t="shared" si="5"/>
        <v>735.30500000000006</v>
      </c>
      <c r="AQ28" s="314">
        <f t="shared" si="5"/>
        <v>735.30500000000006</v>
      </c>
      <c r="AR28" s="314">
        <f t="shared" si="6"/>
        <v>143.80500000000001</v>
      </c>
      <c r="AS28" s="314">
        <f t="shared" si="6"/>
        <v>143.80500000000001</v>
      </c>
      <c r="AT28" s="314">
        <f t="shared" si="7"/>
        <v>989.36500000000001</v>
      </c>
      <c r="AU28" s="314">
        <f t="shared" si="7"/>
        <v>989.36500000000001</v>
      </c>
      <c r="AV28" s="314"/>
      <c r="AW28" s="314"/>
      <c r="AX28" s="71"/>
      <c r="AY28" s="71"/>
      <c r="AZ28" s="71"/>
      <c r="BG28" s="554"/>
      <c r="BH28" s="557"/>
      <c r="BI28" s="46" t="s">
        <v>46</v>
      </c>
      <c r="BJ28" s="46">
        <v>27.9</v>
      </c>
      <c r="BK28" s="46">
        <v>7.1</v>
      </c>
      <c r="BL28" s="46">
        <v>40.700000000000003</v>
      </c>
      <c r="BM28" s="46">
        <v>0</v>
      </c>
      <c r="BN28" s="47">
        <v>24.3</v>
      </c>
      <c r="BP28" s="554"/>
      <c r="BQ28" s="557"/>
      <c r="BR28" s="46" t="s">
        <v>46</v>
      </c>
      <c r="BS28" s="46">
        <v>27.9</v>
      </c>
      <c r="BT28" s="46">
        <v>7.1</v>
      </c>
      <c r="BU28" s="46">
        <v>40.700000000000003</v>
      </c>
      <c r="BV28" s="46">
        <v>0</v>
      </c>
      <c r="BW28" s="47">
        <v>24.3</v>
      </c>
    </row>
    <row r="29" spans="1:75">
      <c r="A29" t="s">
        <v>197</v>
      </c>
      <c r="B29" t="s">
        <v>198</v>
      </c>
      <c r="C29" s="406">
        <f>AA27*(1+KTDB_발생량도착량_증가율!$C$8) * (1+KTDB_발생량도착량_증가율!$D$8*5) * (1+KTDB_발생량도착량_증가율!$E$8*5) * (1+KTDB_발생량도착량_증가율!$F$8*5)</f>
        <v>727.3701389969475</v>
      </c>
      <c r="D29" s="406">
        <f>AB27*(1+KTDB_발생량도착량_증가율!$C$7)*(1+KTDB_발생량도착량_증가율!$D$7*5)*(1+KTDB_발생량도착량_증가율!$E$7*5)*(1+KTDB_발생량도착량_증가율!$F$7*5)</f>
        <v>727.3701389969475</v>
      </c>
      <c r="E29" s="406">
        <f>AC27*(1+KTDB_발생량도착량_증가율!$C$8) * (1+KTDB_발생량도착량_증가율!$D$8*5) * (1+KTDB_발생량도착량_증가율!$E$8*5) * (1+KTDB_발생량도착량_증가율!$F$8*5)</f>
        <v>142.26896123323834</v>
      </c>
      <c r="F29" s="406">
        <f>AD27*(1+KTDB_발생량도착량_증가율!$C$7)*(1+KTDB_발생량도착량_증가율!$D$7*5)*(1+KTDB_발생량도착량_증가율!$E$7*5)*(1+KTDB_발생량도착량_증가율!$F$7*5)</f>
        <v>142.26896123323834</v>
      </c>
      <c r="G29" s="407">
        <f>AE27*(1+KTDB_발생량도착량_증가율!$C$8) * (1+KTDB_발생량도착량_증가율!$D$8*5) * (1+KTDB_발생량도착량_증가율!$E$8*5) * (1+KTDB_발생량도착량_증가율!$F$8*5)</f>
        <v>978.89558079678955</v>
      </c>
      <c r="H29" s="407">
        <f>AF27*(1+KTDB_발생량도착량_증가율!$C$7)*(1+KTDB_발생량도착량_증가율!$D$7*5)*(1+KTDB_발생량도착량_증가율!$E$7*5)*(1+KTDB_발생량도착량_증가율!$F$7*5)</f>
        <v>978.89558079678955</v>
      </c>
      <c r="I29" s="299"/>
      <c r="J29" s="299"/>
      <c r="K29" s="71">
        <f>C29+E29+G29</f>
        <v>1848.5346810269752</v>
      </c>
      <c r="L29" s="71">
        <f t="shared" ref="L29:L40" si="8">D29+F29+H29</f>
        <v>1848.5346810269752</v>
      </c>
      <c r="M29" s="71">
        <f>K29+L29</f>
        <v>3697.0693620539505</v>
      </c>
      <c r="Y29" t="s">
        <v>197</v>
      </c>
      <c r="Z29" t="s">
        <v>200</v>
      </c>
      <c r="AA29" s="314">
        <f t="shared" si="2"/>
        <v>602.58100000000002</v>
      </c>
      <c r="AB29" s="314">
        <f t="shared" si="2"/>
        <v>602.58100000000002</v>
      </c>
      <c r="AC29" s="314">
        <f t="shared" si="3"/>
        <v>117.845</v>
      </c>
      <c r="AD29" s="314">
        <f t="shared" si="3"/>
        <v>117.845</v>
      </c>
      <c r="AE29" s="314">
        <f t="shared" si="4"/>
        <v>810.721</v>
      </c>
      <c r="AF29" s="314">
        <f t="shared" si="4"/>
        <v>810.721</v>
      </c>
      <c r="AG29" s="314"/>
      <c r="AH29" s="314"/>
      <c r="AI29" s="71"/>
      <c r="AJ29" s="71"/>
      <c r="AK29" s="71"/>
      <c r="AN29" t="s">
        <v>197</v>
      </c>
      <c r="AO29" t="s">
        <v>200</v>
      </c>
      <c r="AP29" s="314">
        <f t="shared" si="5"/>
        <v>602.58100000000002</v>
      </c>
      <c r="AQ29" s="314">
        <f t="shared" si="5"/>
        <v>602.58100000000002</v>
      </c>
      <c r="AR29" s="314">
        <f t="shared" si="6"/>
        <v>117.845</v>
      </c>
      <c r="AS29" s="314">
        <f t="shared" si="6"/>
        <v>117.845</v>
      </c>
      <c r="AT29" s="314">
        <f t="shared" si="7"/>
        <v>810.721</v>
      </c>
      <c r="AU29" s="314">
        <f t="shared" si="7"/>
        <v>810.721</v>
      </c>
      <c r="AV29" s="314"/>
      <c r="AW29" s="314"/>
      <c r="AX29" s="71"/>
      <c r="AY29" s="71"/>
      <c r="AZ29" s="71"/>
      <c r="BG29" s="554"/>
      <c r="BH29" s="558"/>
      <c r="BI29" s="46" t="s">
        <v>166</v>
      </c>
      <c r="BJ29" s="46">
        <v>25</v>
      </c>
      <c r="BK29" s="46">
        <v>7.5</v>
      </c>
      <c r="BL29" s="46">
        <v>41.8</v>
      </c>
      <c r="BM29" s="46">
        <v>0</v>
      </c>
      <c r="BN29" s="47">
        <v>25.7</v>
      </c>
      <c r="BP29" s="554"/>
      <c r="BQ29" s="558"/>
      <c r="BR29" s="46" t="s">
        <v>166</v>
      </c>
      <c r="BS29" s="46">
        <v>25</v>
      </c>
      <c r="BT29" s="46">
        <v>7.5</v>
      </c>
      <c r="BU29" s="46">
        <v>41.9</v>
      </c>
      <c r="BV29" s="46">
        <v>0</v>
      </c>
      <c r="BW29" s="47">
        <v>25.6</v>
      </c>
    </row>
    <row r="30" spans="1:75">
      <c r="A30" s="56" t="s">
        <v>197</v>
      </c>
      <c r="B30" s="20" t="s">
        <v>199</v>
      </c>
      <c r="C30" s="406">
        <f>AA28*(1+KTDB_발생량도착량_증가율!$C$8) * (1+KTDB_발생량도착량_증가율!$D$8*5) * (1+KTDB_발생량도착량_증가율!$E$8*5) * (1+KTDB_발생량도착량_증가율!$F$8*5)</f>
        <v>723.13638276274037</v>
      </c>
      <c r="D30" s="406">
        <f>AB28*(1+KTDB_발생량도착량_증가율!$C$7)*(1+KTDB_발생량도착량_증가율!$D$7*5)*(1+KTDB_발생량도착량_증가율!$E$7*5)*(1+KTDB_발생량도착량_증가율!$F$7*5)</f>
        <v>723.13638276274037</v>
      </c>
      <c r="E30" s="406">
        <f>AC28*(1+KTDB_발생량도착량_증가율!$C$8) * (1+KTDB_발생량도착량_증가율!$D$8*5) * (1+KTDB_발생량도착량_증가율!$E$8*5) * (1+KTDB_발생량도착량_증가율!$F$8*5)</f>
        <v>141.4251603391734</v>
      </c>
      <c r="F30" s="406">
        <f>AD28*(1+KTDB_발생량도착량_증가율!$C$7)*(1+KTDB_발생량도착량_증가율!$D$7*5)*(1+KTDB_발생량도착량_증가율!$E$7*5)*(1+KTDB_발생량도착량_증가율!$F$7*5)</f>
        <v>141.4251603391734</v>
      </c>
      <c r="G30" s="407">
        <f>AE28*(1+KTDB_발생량도착량_증가율!$C$8) * (1+KTDB_발생량도착량_증가율!$D$8*5) * (1+KTDB_발생량도착량_증가율!$E$8*5) * (1+KTDB_발생량도착량_증가율!$F$8*5)</f>
        <v>972.99192489111158</v>
      </c>
      <c r="H30" s="407">
        <f>AF28*(1+KTDB_발생량도착량_증가율!$C$7)*(1+KTDB_발생량도착량_증가율!$D$7*5)*(1+KTDB_발생량도착량_증가율!$E$7*5)*(1+KTDB_발생량도착량_증가율!$F$7*5)</f>
        <v>972.99192489111158</v>
      </c>
      <c r="I30" s="299"/>
      <c r="J30" s="299"/>
      <c r="K30" s="71">
        <f t="shared" ref="K30:K40" si="9">C30+E30+G30</f>
        <v>1837.5534679930254</v>
      </c>
      <c r="L30" s="71">
        <f t="shared" si="8"/>
        <v>1837.5534679930254</v>
      </c>
      <c r="M30" s="71">
        <f t="shared" ref="M30:M40" si="10">K30+L30</f>
        <v>3675.1069359860508</v>
      </c>
      <c r="Y30" t="s">
        <v>197</v>
      </c>
      <c r="Z30" t="s">
        <v>201</v>
      </c>
      <c r="AA30" s="314">
        <f t="shared" si="2"/>
        <v>614.39599999999996</v>
      </c>
      <c r="AB30" s="314">
        <f t="shared" si="2"/>
        <v>614.39599999999996</v>
      </c>
      <c r="AC30" s="314">
        <f t="shared" si="3"/>
        <v>120.16900000000001</v>
      </c>
      <c r="AD30" s="314">
        <f t="shared" si="3"/>
        <v>120.16900000000001</v>
      </c>
      <c r="AE30" s="314">
        <f t="shared" si="4"/>
        <v>826.74199999999996</v>
      </c>
      <c r="AF30" s="314">
        <f t="shared" si="4"/>
        <v>826.74199999999996</v>
      </c>
      <c r="AG30" s="69"/>
      <c r="AH30" s="69"/>
      <c r="AI30" s="68"/>
      <c r="AJ30" s="68"/>
      <c r="AK30" s="68"/>
      <c r="AN30" t="s">
        <v>197</v>
      </c>
      <c r="AO30" t="s">
        <v>201</v>
      </c>
      <c r="AP30" s="314">
        <f t="shared" si="5"/>
        <v>614.39599999999996</v>
      </c>
      <c r="AQ30" s="314">
        <f t="shared" si="5"/>
        <v>614.39599999999996</v>
      </c>
      <c r="AR30" s="314">
        <f t="shared" si="6"/>
        <v>120.16900000000001</v>
      </c>
      <c r="AS30" s="314">
        <f t="shared" si="6"/>
        <v>120.16900000000001</v>
      </c>
      <c r="AT30" s="314">
        <f t="shared" si="7"/>
        <v>826.74199999999996</v>
      </c>
      <c r="AU30" s="314">
        <f t="shared" si="7"/>
        <v>826.74199999999996</v>
      </c>
      <c r="AV30" s="69"/>
      <c r="AW30" s="69"/>
      <c r="AX30" s="68"/>
      <c r="AY30" s="68"/>
      <c r="AZ30" s="68"/>
      <c r="BG30" s="554"/>
      <c r="BH30" s="559" t="s">
        <v>13</v>
      </c>
      <c r="BI30" s="46" t="s">
        <v>9</v>
      </c>
      <c r="BJ30" s="46">
        <v>26.3</v>
      </c>
      <c r="BK30" s="46">
        <v>1.9</v>
      </c>
      <c r="BL30" s="46">
        <v>55.2</v>
      </c>
      <c r="BM30" s="46">
        <v>0</v>
      </c>
      <c r="BN30" s="47">
        <v>16.600000000000001</v>
      </c>
      <c r="BP30" s="554"/>
      <c r="BQ30" s="559" t="s">
        <v>13</v>
      </c>
      <c r="BR30" s="46" t="s">
        <v>9</v>
      </c>
      <c r="BS30" s="46">
        <v>26.3</v>
      </c>
      <c r="BT30" s="46">
        <v>1.9</v>
      </c>
      <c r="BU30" s="46">
        <v>55.3</v>
      </c>
      <c r="BV30" s="46">
        <v>0</v>
      </c>
      <c r="BW30" s="47">
        <v>16.5</v>
      </c>
    </row>
    <row r="31" spans="1:75" ht="17" customHeight="1">
      <c r="A31" t="s">
        <v>197</v>
      </c>
      <c r="B31" t="s">
        <v>200</v>
      </c>
      <c r="C31" s="406">
        <f>AA29*(1+KTDB_발생량도착량_증가율!$C$8) * (1+KTDB_발생량도착량_증가율!$D$8*5) * (1+KTDB_발생량도착량_증가율!$E$8*5) * (1+KTDB_발생량도착량_증가율!$F$8*5)</f>
        <v>592.60884212885117</v>
      </c>
      <c r="D31" s="406">
        <f>AB29*(1+KTDB_발생량도착량_증가율!$C$7)*(1+KTDB_발생량도착량_증가율!$D$7*5)*(1+KTDB_발생량도착량_증가율!$E$7*5)*(1+KTDB_발생량도착량_증가율!$F$7*5)</f>
        <v>592.60884212885117</v>
      </c>
      <c r="E31" s="406">
        <f>AC29*(1+KTDB_발생량도착량_증가율!$C$8) * (1+KTDB_발생량도착량_증가율!$D$8*5) * (1+KTDB_발생량도착량_증가율!$E$8*5) * (1+KTDB_발생량도착량_증가율!$F$8*5)</f>
        <v>115.89477431361837</v>
      </c>
      <c r="F31" s="406">
        <f>AD29*(1+KTDB_발생량도착량_증가율!$C$7)*(1+KTDB_발생량도착량_증가율!$D$7*5)*(1+KTDB_발생량도착량_증가율!$E$7*5)*(1+KTDB_발생량도착량_증가율!$F$7*5)</f>
        <v>115.89477431361837</v>
      </c>
      <c r="G31" s="407">
        <f>AE29*(1+KTDB_발생량도착량_증가율!$C$8) * (1+KTDB_발생량도착량_증가율!$D$8*5) * (1+KTDB_발생량도착량_증가율!$E$8*5) * (1+KTDB_발생량도착량_증가율!$F$8*5)</f>
        <v>797.30431775901388</v>
      </c>
      <c r="H31" s="407">
        <f>AF29*(1+KTDB_발생량도착량_증가율!$C$7)*(1+KTDB_발생량도착량_증가율!$D$7*5)*(1+KTDB_발생량도착량_증가율!$E$7*5)*(1+KTDB_발생량도착량_증가율!$F$7*5)</f>
        <v>797.30431775901388</v>
      </c>
      <c r="I31" s="299"/>
      <c r="J31" s="299"/>
      <c r="K31" s="71">
        <f t="shared" si="9"/>
        <v>1505.8079342014835</v>
      </c>
      <c r="L31" s="71">
        <f t="shared" si="8"/>
        <v>1505.8079342014835</v>
      </c>
      <c r="M31" s="71">
        <f t="shared" si="10"/>
        <v>3011.615868402967</v>
      </c>
      <c r="Y31" t="s">
        <v>135</v>
      </c>
      <c r="Z31" t="s">
        <v>12</v>
      </c>
      <c r="AA31" s="314">
        <f t="shared" si="2"/>
        <v>76.184000000000012</v>
      </c>
      <c r="AB31" s="314">
        <f t="shared" si="2"/>
        <v>76.184000000000012</v>
      </c>
      <c r="AC31" s="314">
        <f t="shared" si="3"/>
        <v>14.876000000000001</v>
      </c>
      <c r="AD31" s="314">
        <f t="shared" si="3"/>
        <v>14.876000000000001</v>
      </c>
      <c r="AE31" s="314">
        <f t="shared" si="4"/>
        <v>102.52800000000001</v>
      </c>
      <c r="AF31" s="314">
        <f t="shared" si="4"/>
        <v>102.52800000000001</v>
      </c>
      <c r="AG31" s="69"/>
      <c r="AH31" s="69"/>
      <c r="AI31" s="69"/>
      <c r="AJ31" s="69"/>
      <c r="AK31" s="69"/>
      <c r="AN31" t="s">
        <v>135</v>
      </c>
      <c r="AO31" t="s">
        <v>12</v>
      </c>
      <c r="AP31" s="314">
        <f t="shared" si="5"/>
        <v>76.184000000000012</v>
      </c>
      <c r="AQ31" s="314">
        <f t="shared" si="5"/>
        <v>76.184000000000012</v>
      </c>
      <c r="AR31" s="314">
        <f t="shared" si="6"/>
        <v>14.876000000000001</v>
      </c>
      <c r="AS31" s="314">
        <f t="shared" si="6"/>
        <v>14.876000000000001</v>
      </c>
      <c r="AT31" s="314">
        <f t="shared" si="7"/>
        <v>102.52800000000001</v>
      </c>
      <c r="AU31" s="314">
        <f t="shared" si="7"/>
        <v>102.52800000000001</v>
      </c>
      <c r="AV31" s="69"/>
      <c r="AW31" s="69"/>
      <c r="AX31" s="69"/>
      <c r="AY31" s="69"/>
      <c r="AZ31" s="69"/>
      <c r="BG31" s="554"/>
      <c r="BH31" s="558"/>
      <c r="BI31" s="46" t="s">
        <v>10</v>
      </c>
      <c r="BJ31" s="46">
        <v>28</v>
      </c>
      <c r="BK31" s="46">
        <v>3.9</v>
      </c>
      <c r="BL31" s="46">
        <v>19.5</v>
      </c>
      <c r="BM31" s="46">
        <v>0</v>
      </c>
      <c r="BN31" s="47">
        <v>48.6</v>
      </c>
      <c r="BP31" s="554"/>
      <c r="BQ31" s="558"/>
      <c r="BR31" s="46" t="s">
        <v>10</v>
      </c>
      <c r="BS31" s="46">
        <v>28.1</v>
      </c>
      <c r="BT31" s="46">
        <v>3.9</v>
      </c>
      <c r="BU31" s="46">
        <v>19.600000000000001</v>
      </c>
      <c r="BV31" s="46">
        <v>0</v>
      </c>
      <c r="BW31" s="47">
        <v>48.4</v>
      </c>
    </row>
    <row r="32" spans="1:75">
      <c r="A32" t="s">
        <v>197</v>
      </c>
      <c r="B32" t="s">
        <v>201</v>
      </c>
      <c r="C32" s="408">
        <f>AA30*(1+KTDB_발생량도착량_증가율!$C$8) * (1+KTDB_발생량도착량_증가율!$D$8*5) * (1+KTDB_발생량도착량_증가율!$E$8*5) * (1+KTDB_발생량도착량_증가율!$F$8*5)</f>
        <v>604.22831481344019</v>
      </c>
      <c r="D32" s="408">
        <f>AB30*(1+KTDB_발생량도착량_증가율!$C$7)*(1+KTDB_발생량도착량_증가율!$D$7*5)*(1+KTDB_발생량도착량_증가율!$E$7*5)*(1+KTDB_발생량도착량_증가율!$F$7*5)</f>
        <v>604.22831481344019</v>
      </c>
      <c r="E32" s="408">
        <f>AC30*(1+KTDB_발생량도착량_증가율!$C$8) * (1+KTDB_발생량도착량_증가율!$D$8*5) * (1+KTDB_발생량도착량_증가율!$E$8*5) * (1+KTDB_발생량도착량_증가율!$F$8*5)</f>
        <v>118.18031426444234</v>
      </c>
      <c r="F32" s="408">
        <f>AD30*(1+KTDB_발생량도착량_증가율!$C$7)*(1+KTDB_발생량도착량_증가율!$D$7*5)*(1+KTDB_발생량도착량_증가율!$E$7*5)*(1+KTDB_발생량도착량_증가율!$F$7*5)</f>
        <v>118.18031426444234</v>
      </c>
      <c r="G32" s="409">
        <f>AE30*(1+KTDB_발생량도착량_증가율!$C$8) * (1+KTDB_발생량도착량_증가율!$D$8*5) * (1+KTDB_발생량도착량_증가율!$E$8*5) * (1+KTDB_발생량도착량_증가율!$F$8*5)</f>
        <v>813.06018503618702</v>
      </c>
      <c r="H32" s="409">
        <f>AF30*(1+KTDB_발생량도착량_증가율!$C$7)*(1+KTDB_발생량도착량_증가율!$D$7*5)*(1+KTDB_발생량도착량_증가율!$E$7*5)*(1+KTDB_발생량도착량_증가율!$F$7*5)</f>
        <v>813.06018503618702</v>
      </c>
      <c r="I32" s="69"/>
      <c r="J32" s="69"/>
      <c r="K32" s="68">
        <f t="shared" si="9"/>
        <v>1535.4688141140696</v>
      </c>
      <c r="L32" s="68">
        <f t="shared" si="8"/>
        <v>1535.4688141140696</v>
      </c>
      <c r="M32" s="68">
        <f t="shared" si="10"/>
        <v>3070.9376282281391</v>
      </c>
      <c r="Y32" t="s">
        <v>136</v>
      </c>
      <c r="Z32" t="s">
        <v>13</v>
      </c>
      <c r="AA32" s="314">
        <f>AA14*$BJ$30*$BF$21</f>
        <v>90.734999999999999</v>
      </c>
      <c r="AB32" s="314">
        <f>AB14*$BJ$30*$BF$21</f>
        <v>90.734999999999999</v>
      </c>
      <c r="AC32" s="314">
        <f>AA14*$BK$30*$BF$21</f>
        <v>6.5549999999999997</v>
      </c>
      <c r="AD32" s="314">
        <f>AB14*$BK$30*$BF$21</f>
        <v>6.5549999999999997</v>
      </c>
      <c r="AE32" s="314">
        <f>AA14*$BL$30*$BF$21</f>
        <v>190.44</v>
      </c>
      <c r="AF32" s="314">
        <f>AB14*$BL$30*$BF$21</f>
        <v>190.44</v>
      </c>
      <c r="AG32" s="68"/>
      <c r="AH32" s="68"/>
      <c r="AI32" s="68"/>
      <c r="AJ32" s="68"/>
      <c r="AK32" s="68"/>
      <c r="AN32" t="s">
        <v>136</v>
      </c>
      <c r="AO32" t="s">
        <v>13</v>
      </c>
      <c r="AP32" s="314">
        <f>AP14*$BJ$30*$BF$21</f>
        <v>90.734999999999999</v>
      </c>
      <c r="AQ32" s="314">
        <f>AQ14*$BJ$30*$BF$21</f>
        <v>90.734999999999999</v>
      </c>
      <c r="AR32" s="314">
        <f>AP14*$BK$30*$BF$21</f>
        <v>6.5549999999999997</v>
      </c>
      <c r="AS32" s="314">
        <f>AQ14*$BK$30*$BF$21</f>
        <v>6.5549999999999997</v>
      </c>
      <c r="AT32" s="314">
        <f>AP14*$BL$30*$BF$21</f>
        <v>190.44</v>
      </c>
      <c r="AU32" s="314">
        <f>AQ14*$BL$30*$BF$21</f>
        <v>190.44</v>
      </c>
      <c r="AV32" s="68"/>
      <c r="AW32" s="68"/>
      <c r="AX32" s="68"/>
      <c r="AY32" s="68"/>
      <c r="AZ32" s="68"/>
      <c r="BG32" s="554"/>
      <c r="BH32" s="559" t="s">
        <v>167</v>
      </c>
      <c r="BI32" s="46" t="s">
        <v>9</v>
      </c>
      <c r="BJ32" s="46">
        <v>31.6</v>
      </c>
      <c r="BK32" s="46">
        <v>6.3</v>
      </c>
      <c r="BL32" s="46">
        <v>52.6</v>
      </c>
      <c r="BM32" s="46">
        <v>0</v>
      </c>
      <c r="BN32" s="47">
        <v>9.5</v>
      </c>
      <c r="BP32" s="554"/>
      <c r="BQ32" s="559" t="s">
        <v>167</v>
      </c>
      <c r="BR32" s="46" t="s">
        <v>9</v>
      </c>
      <c r="BS32" s="46">
        <v>31.6</v>
      </c>
      <c r="BT32" s="46">
        <v>6.3</v>
      </c>
      <c r="BU32" s="46">
        <v>52.7</v>
      </c>
      <c r="BV32" s="46">
        <v>0</v>
      </c>
      <c r="BW32" s="47">
        <v>9.4</v>
      </c>
    </row>
    <row r="33" spans="1:75">
      <c r="A33" t="s">
        <v>135</v>
      </c>
      <c r="B33" t="s">
        <v>12</v>
      </c>
      <c r="C33" s="408">
        <f>AA31*(1+KTDB_발생량도착량_증가율!$C$8) * (1+KTDB_발생량도착량_증가율!$D$8*5) * (1+KTDB_발생량도착량_증가율!$E$8*5) * (1+KTDB_발생량도착량_증가율!$F$8*5)</f>
        <v>74.923225307044859</v>
      </c>
      <c r="D33" s="408">
        <f>AB31*(1+KTDB_발생량도착량_증가율!$C$7)*(1+KTDB_발생량도착량_증가율!$D$7*5)*(1+KTDB_발생량도착량_증가율!$E$7*5)*(1+KTDB_발생량도착량_증가율!$F$7*5)</f>
        <v>74.923225307044859</v>
      </c>
      <c r="E33" s="408">
        <f>AC31*(1+KTDB_발생량도착량_증가율!$C$8) * (1+KTDB_발생량도착량_증가율!$D$8*5) * (1+KTDB_발생량도착량_증가율!$E$8*5) * (1+KTDB_발생량도착량_증가율!$F$8*5)</f>
        <v>14.629815967494478</v>
      </c>
      <c r="F33" s="408">
        <f>AD31*(1+KTDB_발생량도착량_증가율!$C$7)*(1+KTDB_발생량도착량_증가율!$D$7*5)*(1+KTDB_발생량도착량_증가율!$E$7*5)*(1+KTDB_발생량도착량_증가율!$F$7*5)</f>
        <v>14.629815967494478</v>
      </c>
      <c r="G33" s="408">
        <f>AE31*(1+KTDB_발생량도착량_증가율!$C$8) * (1+KTDB_발생량도착량_증가율!$D$8*5) * (1+KTDB_발생량도착량_증가율!$E$8*5) * (1+KTDB_발생량도착량_증가율!$F$8*5)</f>
        <v>100.83125648798561</v>
      </c>
      <c r="H33" s="408">
        <f>AF31*(1+KTDB_발생량도착량_증가율!$C$7)*(1+KTDB_발생량도착량_증가율!$D$7*5)*(1+KTDB_발생량도착량_증가율!$E$7*5)*(1+KTDB_발생량도착량_증가율!$F$7*5)</f>
        <v>100.83125648798561</v>
      </c>
      <c r="I33" s="69"/>
      <c r="J33" s="69"/>
      <c r="K33" s="69">
        <f t="shared" si="9"/>
        <v>190.38429776252497</v>
      </c>
      <c r="L33" s="69">
        <f t="shared" si="8"/>
        <v>190.38429776252497</v>
      </c>
      <c r="M33" s="69">
        <f t="shared" si="10"/>
        <v>380.76859552504993</v>
      </c>
      <c r="Y33" t="s">
        <v>206</v>
      </c>
      <c r="Z33" t="s">
        <v>167</v>
      </c>
      <c r="AA33" s="314">
        <f>AA15*$BJ$32*$BF$21</f>
        <v>416.48800000000006</v>
      </c>
      <c r="AB33" s="314">
        <f>AB15*$BJ$32*$BF$21</f>
        <v>416.48800000000006</v>
      </c>
      <c r="AC33" s="314">
        <f>AA15*$BK$32*$BF$21</f>
        <v>83.033999999999992</v>
      </c>
      <c r="AD33" s="314">
        <f>AB15*$BK$32*$BF$21</f>
        <v>83.033999999999992</v>
      </c>
      <c r="AE33" s="314">
        <f>AA15*$BL$32*$BF$21</f>
        <v>693.26800000000003</v>
      </c>
      <c r="AF33" s="314">
        <f>AB15*$BL$32*$BF$21</f>
        <v>693.26800000000003</v>
      </c>
      <c r="AG33" s="68"/>
      <c r="AH33" s="68"/>
      <c r="AI33" s="68"/>
      <c r="AJ33" s="68"/>
      <c r="AK33" s="68"/>
      <c r="AN33" t="s">
        <v>206</v>
      </c>
      <c r="AO33" t="s">
        <v>167</v>
      </c>
      <c r="AP33" s="314">
        <f>AP15*$BJ$32*$BF$21</f>
        <v>416.48800000000006</v>
      </c>
      <c r="AQ33" s="314">
        <f>AQ15*$BJ$32*$BF$21</f>
        <v>416.48800000000006</v>
      </c>
      <c r="AR33" s="314">
        <f>AP15*$BK$32*$BF$21</f>
        <v>83.033999999999992</v>
      </c>
      <c r="AS33" s="314">
        <f>AQ15*$BK$32*$BF$21</f>
        <v>83.033999999999992</v>
      </c>
      <c r="AT33" s="314">
        <f>AP15*$BL$32*$BF$21</f>
        <v>693.26800000000003</v>
      </c>
      <c r="AU33" s="314">
        <f>AQ15*$BL$32*$BF$21</f>
        <v>693.26800000000003</v>
      </c>
      <c r="AV33" s="68"/>
      <c r="AW33" s="68"/>
      <c r="AX33" s="68"/>
      <c r="AY33" s="68"/>
      <c r="AZ33" s="68"/>
      <c r="BG33" s="554"/>
      <c r="BH33" s="558"/>
      <c r="BI33" s="46" t="s">
        <v>10</v>
      </c>
      <c r="BJ33" s="46">
        <v>35</v>
      </c>
      <c r="BK33" s="46">
        <v>6.8</v>
      </c>
      <c r="BL33" s="46">
        <v>40.9</v>
      </c>
      <c r="BM33" s="46">
        <v>0</v>
      </c>
      <c r="BN33" s="47">
        <v>17.3</v>
      </c>
      <c r="BP33" s="554"/>
      <c r="BQ33" s="558"/>
      <c r="BR33" s="46" t="s">
        <v>10</v>
      </c>
      <c r="BS33" s="46">
        <v>35</v>
      </c>
      <c r="BT33" s="46">
        <v>6.8</v>
      </c>
      <c r="BU33" s="46">
        <v>40.9</v>
      </c>
      <c r="BV33" s="46">
        <v>0</v>
      </c>
      <c r="BW33" s="47">
        <v>17.3</v>
      </c>
    </row>
    <row r="34" spans="1:75">
      <c r="A34" t="s">
        <v>611</v>
      </c>
      <c r="B34" t="s">
        <v>13</v>
      </c>
      <c r="C34" s="409">
        <f>AA32*(1+KTDB_발생량도착량_증가율!$C$8) * (1+KTDB_발생량도착량_증가율!$D$8*5) * (1+KTDB_발생량도착량_증가율!$E$8*5) * (1+KTDB_발생량도착량_증가율!$F$8*5)</f>
        <v>89.233419723757152</v>
      </c>
      <c r="D34" s="409">
        <f>AB32*(1+KTDB_발생량도착량_증가율!$C$7)*(1+KTDB_발생량도착량_증가율!$D$7*5)*(1+KTDB_발생량도착량_증가율!$E$7*5)*(1+KTDB_발생량도착량_증가율!$F$7*5)</f>
        <v>89.233419723757152</v>
      </c>
      <c r="E34" s="408">
        <f>AC32*(1+KTDB_발생량도착량_증가율!$C$8) * (1+KTDB_발생량도착량_증가율!$D$8*5) * (1+KTDB_발생량도착량_증가율!$E$8*5) * (1+KTDB_발생량도착량_증가율!$F$8*5)</f>
        <v>6.4465208165451937</v>
      </c>
      <c r="F34" s="408">
        <f>AD32*(1+KTDB_발생량도착량_증가율!$C$7)*(1+KTDB_발생량도착량_증가율!$D$7*5)*(1+KTDB_발생량도착량_증가율!$E$7*5)*(1+KTDB_발생량도착량_증가율!$F$7*5)</f>
        <v>6.4465208165451937</v>
      </c>
      <c r="G34" s="408">
        <f>AE32*(1+KTDB_발생량도착량_증가율!$C$8) * (1+KTDB_발생량도착량_증가율!$D$8*5) * (1+KTDB_발생량도착량_증가율!$E$8*5) * (1+KTDB_발생량도착량_증가율!$F$8*5)</f>
        <v>187.28839424910245</v>
      </c>
      <c r="H34" s="408">
        <f>AF32*(1+KTDB_발생량도착량_증가율!$C$7)*(1+KTDB_발생량도착량_증가율!$D$7*5)*(1+KTDB_발생량도착량_증가율!$E$7*5)*(1+KTDB_발생량도착량_증가율!$F$7*5)</f>
        <v>187.28839424910245</v>
      </c>
      <c r="I34" s="68"/>
      <c r="J34" s="68"/>
      <c r="K34" s="68">
        <f t="shared" si="9"/>
        <v>282.96833478940482</v>
      </c>
      <c r="L34" s="68">
        <f t="shared" si="8"/>
        <v>282.96833478940482</v>
      </c>
      <c r="M34" s="68">
        <f t="shared" si="10"/>
        <v>565.93666957880964</v>
      </c>
      <c r="Y34" t="s">
        <v>207</v>
      </c>
      <c r="Z34" t="s">
        <v>168</v>
      </c>
      <c r="AA34" s="314">
        <f>AA16*$BJ$34*$BF$21</f>
        <v>1631.8500000000001</v>
      </c>
      <c r="AB34" s="314">
        <f>AB16*$BJ$34*$BF$21</f>
        <v>1631.8500000000001</v>
      </c>
      <c r="AC34" s="314">
        <f>AA16*$BK$34*$BF$21</f>
        <v>351.09500000000003</v>
      </c>
      <c r="AD34" s="314">
        <f>AB16*$BK$34*$BF$21</f>
        <v>351.09500000000003</v>
      </c>
      <c r="AE34" s="314">
        <f>AA16*$BL$34*$BF$21</f>
        <v>2546.6750000000002</v>
      </c>
      <c r="AF34" s="314">
        <f>AB16*$BL$34*$BF$21</f>
        <v>2546.6750000000002</v>
      </c>
      <c r="AG34" s="68"/>
      <c r="AH34" s="68"/>
      <c r="AI34" s="68"/>
      <c r="AJ34" s="68"/>
      <c r="AK34" s="68"/>
      <c r="AN34" t="s">
        <v>207</v>
      </c>
      <c r="AO34" t="s">
        <v>168</v>
      </c>
      <c r="AP34" s="314">
        <f>AP16*$BJ$34*$BF$21</f>
        <v>1631.8500000000001</v>
      </c>
      <c r="AQ34" s="314">
        <f>AQ16*$BJ$34*$BF$21</f>
        <v>1631.8500000000001</v>
      </c>
      <c r="AR34" s="314">
        <f>AP16*$BK$34*$BF$21</f>
        <v>351.09500000000003</v>
      </c>
      <c r="AS34" s="314">
        <f>AQ16*$BK$34*$BF$21</f>
        <v>351.09500000000003</v>
      </c>
      <c r="AT34" s="314">
        <f>AP16*$BL$34*$BF$21</f>
        <v>2546.6750000000002</v>
      </c>
      <c r="AU34" s="314">
        <f>AQ16*$BL$34*$BF$21</f>
        <v>2546.6750000000002</v>
      </c>
      <c r="AV34" s="68"/>
      <c r="AW34" s="68"/>
      <c r="AX34" s="68"/>
      <c r="AY34" s="68"/>
      <c r="AZ34" s="68"/>
      <c r="BG34" s="554"/>
      <c r="BH34" s="559" t="s">
        <v>168</v>
      </c>
      <c r="BI34" s="46" t="s">
        <v>9</v>
      </c>
      <c r="BJ34" s="46">
        <v>33</v>
      </c>
      <c r="BK34" s="46">
        <v>7.1</v>
      </c>
      <c r="BL34" s="46">
        <v>51.5</v>
      </c>
      <c r="BM34" s="46">
        <v>0</v>
      </c>
      <c r="BN34" s="47">
        <v>8.4</v>
      </c>
      <c r="BP34" s="554"/>
      <c r="BQ34" s="559" t="s">
        <v>168</v>
      </c>
      <c r="BR34" s="46" t="s">
        <v>9</v>
      </c>
      <c r="BS34" s="46">
        <v>33</v>
      </c>
      <c r="BT34" s="46">
        <v>7.1</v>
      </c>
      <c r="BU34" s="46">
        <v>51.6</v>
      </c>
      <c r="BV34" s="46">
        <v>0</v>
      </c>
      <c r="BW34" s="47">
        <v>8.3000000000000007</v>
      </c>
    </row>
    <row r="35" spans="1:75">
      <c r="A35" t="s">
        <v>612</v>
      </c>
      <c r="B35" t="s">
        <v>167</v>
      </c>
      <c r="C35" s="409">
        <f>AA33*(1+KTDB_발생량도착량_증가율!$C$8) * (1+KTDB_발생량도착량_증가율!$D$8*5) * (1+KTDB_발생량도착량_증가율!$E$8*5) * (1+KTDB_발생량도착량_증가율!$F$8*5)</f>
        <v>409.59550905282606</v>
      </c>
      <c r="D35" s="409">
        <f>AB33*(1+KTDB_발생량도착량_증가율!$C$7)*(1+KTDB_발생량도착량_증가율!$D$7*5)*(1+KTDB_발생량도착량_증가율!$E$7*5)*(1+KTDB_발생량도착량_증가율!$F$7*5)</f>
        <v>409.59550905282606</v>
      </c>
      <c r="E35" s="408">
        <f>AC33*(1+KTDB_발생량도착량_증가율!$C$8) * (1+KTDB_발생량도착량_증가율!$D$8*5) * (1+KTDB_발생량도착량_증가율!$E$8*5) * (1+KTDB_발생량도착량_증가율!$F$8*5)</f>
        <v>81.659864146607703</v>
      </c>
      <c r="F35" s="408">
        <f>AD33*(1+KTDB_발생량도착량_증가율!$C$7)*(1+KTDB_발생량도착량_증가율!$D$7*5)*(1+KTDB_발생량도착량_증가율!$E$7*5)*(1+KTDB_발생량도착량_증가율!$F$7*5)</f>
        <v>81.659864146607703</v>
      </c>
      <c r="G35" s="409">
        <f>AE33*(1+KTDB_발생량도착량_증가율!$C$8) * (1+KTDB_발생량도착량_증가율!$D$8*5) * (1+KTDB_발생량도착량_증가율!$E$8*5) * (1+KTDB_발생량도착량_증가율!$F$8*5)</f>
        <v>681.79505620818509</v>
      </c>
      <c r="H35" s="409">
        <f>AF33*(1+KTDB_발생량도착량_증가율!$C$7)*(1+KTDB_발생량도착량_증가율!$D$7*5)*(1+KTDB_발생량도착량_증가율!$E$7*5)*(1+KTDB_발생량도착량_증가율!$F$7*5)</f>
        <v>681.79505620818509</v>
      </c>
      <c r="I35" s="68"/>
      <c r="J35" s="68"/>
      <c r="K35" s="68">
        <f t="shared" si="9"/>
        <v>1173.0504294076188</v>
      </c>
      <c r="L35" s="68">
        <f t="shared" si="8"/>
        <v>1173.0504294076188</v>
      </c>
      <c r="M35" s="68">
        <f t="shared" si="10"/>
        <v>2346.1008588152376</v>
      </c>
      <c r="Y35" t="s">
        <v>208</v>
      </c>
      <c r="Z35" t="s">
        <v>47</v>
      </c>
      <c r="AA35" s="314">
        <f>AA17*$BJ$36*$BF$21</f>
        <v>312.06399999999996</v>
      </c>
      <c r="AB35" s="314">
        <f>AB17*$BJ$36*$BF$21</f>
        <v>312.06399999999996</v>
      </c>
      <c r="AC35" s="314">
        <f>AA17*$BK$36*$BF$21</f>
        <v>82.255999999999986</v>
      </c>
      <c r="AD35" s="314">
        <f>AB17*$BK$36*$BF$21</f>
        <v>82.255999999999986</v>
      </c>
      <c r="AE35" s="314">
        <f>AA17*$BL$36*$BF$21</f>
        <v>294.25600000000003</v>
      </c>
      <c r="AF35" s="314">
        <f>AB17*$BL$36*$BF$21</f>
        <v>294.25600000000003</v>
      </c>
      <c r="AG35" s="69"/>
      <c r="AH35" s="69"/>
      <c r="AI35" s="68"/>
      <c r="AJ35" s="68"/>
      <c r="AK35" s="68"/>
      <c r="AN35" t="s">
        <v>208</v>
      </c>
      <c r="AO35" t="s">
        <v>47</v>
      </c>
      <c r="AP35" s="314">
        <f>AP17*$BJ$36*$BF$21</f>
        <v>312.06399999999996</v>
      </c>
      <c r="AQ35" s="314">
        <f>AQ17*$BJ$36*$BF$21</f>
        <v>312.06399999999996</v>
      </c>
      <c r="AR35" s="314">
        <f>AP17*$BK$36*$BF$21</f>
        <v>82.255999999999986</v>
      </c>
      <c r="AS35" s="314">
        <f>AQ17*$BK$36*$BF$21</f>
        <v>82.255999999999986</v>
      </c>
      <c r="AT35" s="314">
        <f>AP17*$BL$36*$BF$21</f>
        <v>294.25600000000003</v>
      </c>
      <c r="AU35" s="314">
        <f>AQ17*$BL$36*$BF$21</f>
        <v>294.25600000000003</v>
      </c>
      <c r="AV35" s="69"/>
      <c r="AW35" s="69"/>
      <c r="AX35" s="68"/>
      <c r="AY35" s="68"/>
      <c r="AZ35" s="68"/>
      <c r="BG35" s="554"/>
      <c r="BH35" s="558"/>
      <c r="BI35" s="46" t="s">
        <v>10</v>
      </c>
      <c r="BJ35" s="46">
        <v>31.4</v>
      </c>
      <c r="BK35" s="46">
        <v>7.3</v>
      </c>
      <c r="BL35" s="46">
        <v>54.1</v>
      </c>
      <c r="BM35" s="46">
        <v>0</v>
      </c>
      <c r="BN35" s="47">
        <v>7.2</v>
      </c>
      <c r="BP35" s="554"/>
      <c r="BQ35" s="558"/>
      <c r="BR35" s="46" t="s">
        <v>10</v>
      </c>
      <c r="BS35" s="46">
        <v>31.4</v>
      </c>
      <c r="BT35" s="46">
        <v>7.3</v>
      </c>
      <c r="BU35" s="46">
        <v>54.2</v>
      </c>
      <c r="BV35" s="46">
        <v>0</v>
      </c>
      <c r="BW35" s="47">
        <v>7.1</v>
      </c>
    </row>
    <row r="36" spans="1:75">
      <c r="A36" t="s">
        <v>613</v>
      </c>
      <c r="B36" t="s">
        <v>168</v>
      </c>
      <c r="C36" s="409">
        <f>AA34*(1+KTDB_발생량도착량_증가율!$C$8) * (1+KTDB_발생량도착량_증가율!$D$8*5) * (1+KTDB_발생량도착량_증가율!$E$8*5) * (1+KTDB_발생량도착량_증가율!$F$8*5)</f>
        <v>1604.8443927504613</v>
      </c>
      <c r="D36" s="409">
        <f>AB34*(1+KTDB_발생량도착량_증가율!$C$7)*(1+KTDB_발생량도착량_증가율!$D$7*5)*(1+KTDB_발생량도착량_증가율!$E$7*5)*(1+KTDB_발생량도착량_증가율!$F$7*5)</f>
        <v>1604.8443927504613</v>
      </c>
      <c r="E36" s="408">
        <f>AC34*(1+KTDB_발생량도착량_증가율!$C$8) * (1+KTDB_발생량도착량_증가율!$D$8*5) * (1+KTDB_발생량도착량_증가율!$E$8*5) * (1+KTDB_발생량도착량_증가율!$F$8*5)</f>
        <v>345.28470268267506</v>
      </c>
      <c r="F36" s="408">
        <f>AD34*(1+KTDB_발생량도착량_증가율!$C$7)*(1+KTDB_발생량도착량_증가율!$D$7*5)*(1+KTDB_발생량도착량_증가율!$E$7*5)*(1+KTDB_발생량도착량_증가율!$F$7*5)</f>
        <v>345.28470268267506</v>
      </c>
      <c r="G36" s="409">
        <f>AE34*(1+KTDB_발생량도착량_증가율!$C$8) * (1+KTDB_발생량도착량_증가율!$D$8*5) * (1+KTDB_발생량도착량_증가율!$E$8*5) * (1+KTDB_발생량도착량_증가율!$F$8*5)</f>
        <v>2504.5298856560235</v>
      </c>
      <c r="H36" s="409">
        <f>AF34*(1+KTDB_발생량도착량_증가율!$C$7)*(1+KTDB_발생량도착량_증가율!$D$7*5)*(1+KTDB_발생량도착량_증가율!$E$7*5)*(1+KTDB_발생량도착량_증가율!$F$7*5)</f>
        <v>2504.5298856560235</v>
      </c>
      <c r="I36" s="68"/>
      <c r="J36" s="68"/>
      <c r="K36" s="68">
        <f t="shared" si="9"/>
        <v>4454.6589810891601</v>
      </c>
      <c r="L36" s="68">
        <f t="shared" si="8"/>
        <v>4454.6589810891601</v>
      </c>
      <c r="M36" s="68">
        <f t="shared" si="10"/>
        <v>8909.3179621783202</v>
      </c>
      <c r="Y36" t="s">
        <v>209</v>
      </c>
      <c r="Z36" t="s">
        <v>169</v>
      </c>
      <c r="AA36" s="314">
        <f>AA18*$BJ$38*$BF$21</f>
        <v>532.78</v>
      </c>
      <c r="AB36" s="314">
        <f>AB18*$BJ$38*$BF$21</f>
        <v>532.78</v>
      </c>
      <c r="AC36" s="314">
        <f>AA18*$BK$38*$BF$21</f>
        <v>111.25699999999999</v>
      </c>
      <c r="AD36" s="314">
        <f>AB18*$BK$38*$BF$21</f>
        <v>111.25699999999999</v>
      </c>
      <c r="AE36" s="314">
        <f>AA18*$BL$38*$BF$21</f>
        <v>460.69799999999998</v>
      </c>
      <c r="AF36" s="314">
        <f>AB18*$BL$38*$BF$21</f>
        <v>460.69799999999998</v>
      </c>
      <c r="AG36" s="68"/>
      <c r="AH36" s="68"/>
      <c r="AI36" s="68"/>
      <c r="AJ36" s="68"/>
      <c r="AK36" s="68"/>
      <c r="AN36" t="s">
        <v>209</v>
      </c>
      <c r="AO36" t="s">
        <v>169</v>
      </c>
      <c r="AP36" s="314">
        <f>AP18*$BJ$38*$BF$21</f>
        <v>532.78</v>
      </c>
      <c r="AQ36" s="314">
        <f>AQ18*$BJ$38*$BF$21</f>
        <v>532.78</v>
      </c>
      <c r="AR36" s="314">
        <f>AP18*$BK$38*$BF$21</f>
        <v>111.25699999999999</v>
      </c>
      <c r="AS36" s="314">
        <f>AQ18*$BK$38*$BF$21</f>
        <v>111.25699999999999</v>
      </c>
      <c r="AT36" s="314">
        <f>AP18*$BL$38*$BF$21</f>
        <v>460.69799999999998</v>
      </c>
      <c r="AU36" s="314">
        <f>AQ18*$BL$38*$BF$21</f>
        <v>460.69799999999998</v>
      </c>
      <c r="AV36" s="68"/>
      <c r="AW36" s="68"/>
      <c r="AX36" s="68"/>
      <c r="AY36" s="68"/>
      <c r="AZ36" s="68"/>
      <c r="BG36" s="554"/>
      <c r="BH36" s="559" t="s">
        <v>47</v>
      </c>
      <c r="BI36" s="46" t="s">
        <v>9</v>
      </c>
      <c r="BJ36" s="46">
        <v>36.799999999999997</v>
      </c>
      <c r="BK36" s="46">
        <v>9.6999999999999993</v>
      </c>
      <c r="BL36" s="46">
        <v>34.700000000000003</v>
      </c>
      <c r="BM36" s="46">
        <v>0</v>
      </c>
      <c r="BN36" s="47">
        <v>18.8</v>
      </c>
      <c r="BP36" s="554"/>
      <c r="BQ36" s="559" t="s">
        <v>47</v>
      </c>
      <c r="BR36" s="46" t="s">
        <v>9</v>
      </c>
      <c r="BS36" s="46">
        <v>36.799999999999997</v>
      </c>
      <c r="BT36" s="46">
        <v>9.6999999999999993</v>
      </c>
      <c r="BU36" s="46">
        <v>34.700000000000003</v>
      </c>
      <c r="BV36" s="46">
        <v>0</v>
      </c>
      <c r="BW36" s="47">
        <v>18.8</v>
      </c>
    </row>
    <row r="37" spans="1:75" ht="17" customHeight="1">
      <c r="A37" t="s">
        <v>614</v>
      </c>
      <c r="B37" t="s">
        <v>47</v>
      </c>
      <c r="C37" s="409">
        <f>AA35*(1+KTDB_발생량도착량_증가율!$C$8) * (1+KTDB_발생량도착량_증가율!$D$8*5) * (1+KTDB_발생량도착량_증가율!$E$8*5) * (1+KTDB_발생량도착량_증가율!$F$8*5)</f>
        <v>306.89962961012344</v>
      </c>
      <c r="D37" s="409">
        <f>AB35*(1+KTDB_발생량도착량_증가율!$C$7)*(1+KTDB_발생량도착량_증가율!$D$7*5)*(1+KTDB_발생량도착량_증가율!$E$7*5)*(1+KTDB_발생량도착량_증가율!$F$7*5)</f>
        <v>306.89962961012344</v>
      </c>
      <c r="E37" s="408">
        <f>AC35*(1+KTDB_발생량도착량_증가율!$C$8) * (1+KTDB_발생량도착량_증가율!$D$8*5) * (1+KTDB_발생량도착량_증가율!$E$8*5) * (1+KTDB_발생량도착량_증가율!$F$8*5)</f>
        <v>80.89473932658143</v>
      </c>
      <c r="F37" s="408">
        <f>AD35*(1+KTDB_발생량도착량_증가율!$C$7)*(1+KTDB_발생량도착량_증가율!$D$7*5)*(1+KTDB_발생량도착량_증가율!$E$7*5)*(1+KTDB_발생량도착량_증가율!$F$7*5)</f>
        <v>80.89473932658143</v>
      </c>
      <c r="G37" s="409">
        <f>AE35*(1+KTDB_발생량도착량_증가율!$C$8) * (1+KTDB_발생량도착량_증가율!$D$8*5) * (1+KTDB_발생량도착량_증가율!$E$8*5) * (1+KTDB_발생량도착량_증가율!$F$8*5)</f>
        <v>289.38633552911102</v>
      </c>
      <c r="H37" s="409">
        <f>AF35*(1+KTDB_발생량도착량_증가율!$C$7)*(1+KTDB_발생량도착량_증가율!$D$7*5)*(1+KTDB_발생량도착량_증가율!$E$7*5)*(1+KTDB_발생량도착량_증가율!$F$7*5)</f>
        <v>289.38633552911102</v>
      </c>
      <c r="I37" s="69"/>
      <c r="J37" s="69"/>
      <c r="K37" s="68">
        <f t="shared" si="9"/>
        <v>677.18070446581589</v>
      </c>
      <c r="L37" s="68">
        <f t="shared" si="8"/>
        <v>677.18070446581589</v>
      </c>
      <c r="M37" s="68">
        <f t="shared" si="10"/>
        <v>1354.3614089316318</v>
      </c>
      <c r="P37" s="56"/>
      <c r="Q37" s="56"/>
      <c r="R37" s="56"/>
      <c r="S37" s="56"/>
      <c r="T37" s="301"/>
      <c r="U37" s="301"/>
      <c r="V37" s="56"/>
      <c r="W37" s="56"/>
      <c r="X37" s="56"/>
      <c r="Y37" t="s">
        <v>210</v>
      </c>
      <c r="Z37" t="s">
        <v>170</v>
      </c>
      <c r="AA37" s="314">
        <f>AA19*$BJ$40*$BF$21</f>
        <v>440.64</v>
      </c>
      <c r="AB37" s="314">
        <f>AB19*$BJ$40*$BF$21</f>
        <v>440.64</v>
      </c>
      <c r="AC37" s="314">
        <f>AA19*$BK$40*$BF$21</f>
        <v>92.016000000000005</v>
      </c>
      <c r="AD37" s="314">
        <f>AB19*$BK$40*$BF$21</f>
        <v>92.016000000000005</v>
      </c>
      <c r="AE37" s="314">
        <f>AA19*$BL$40*$BF$21</f>
        <v>381.024</v>
      </c>
      <c r="AF37" s="314">
        <f>AB19*$BL$40*$BF$21</f>
        <v>381.024</v>
      </c>
      <c r="AG37" s="68"/>
      <c r="AH37" s="68"/>
      <c r="AI37" s="68"/>
      <c r="AJ37" s="68"/>
      <c r="AK37" s="68"/>
      <c r="AN37" t="s">
        <v>210</v>
      </c>
      <c r="AO37" t="s">
        <v>170</v>
      </c>
      <c r="AP37" s="314">
        <f>AP19*$BJ$40*$BF$21</f>
        <v>440.64</v>
      </c>
      <c r="AQ37" s="314">
        <f>AQ19*$BJ$40*$BF$21</f>
        <v>440.64</v>
      </c>
      <c r="AR37" s="314">
        <f>AP19*$BK$40*$BF$21</f>
        <v>92.016000000000005</v>
      </c>
      <c r="AS37" s="314">
        <f>AQ19*$BK$40*$BF$21</f>
        <v>92.016000000000005</v>
      </c>
      <c r="AT37" s="314">
        <f>AP19*$BL$40*$BF$21</f>
        <v>381.024</v>
      </c>
      <c r="AU37" s="314">
        <f>AQ19*$BL$40*$BF$21</f>
        <v>381.024</v>
      </c>
      <c r="AV37" s="68"/>
      <c r="AW37" s="68"/>
      <c r="AX37" s="68"/>
      <c r="AY37" s="68"/>
      <c r="AZ37" s="68"/>
      <c r="BG37" s="554"/>
      <c r="BH37" s="558"/>
      <c r="BI37" s="46" t="s">
        <v>10</v>
      </c>
      <c r="BJ37" s="46">
        <v>34.6</v>
      </c>
      <c r="BK37" s="46">
        <v>9.5</v>
      </c>
      <c r="BL37" s="46">
        <v>35.700000000000003</v>
      </c>
      <c r="BM37" s="46">
        <v>0</v>
      </c>
      <c r="BN37" s="47">
        <v>20.2</v>
      </c>
      <c r="BP37" s="554"/>
      <c r="BQ37" s="558"/>
      <c r="BR37" s="46" t="s">
        <v>10</v>
      </c>
      <c r="BS37" s="46">
        <v>34.6</v>
      </c>
      <c r="BT37" s="46">
        <v>9.5</v>
      </c>
      <c r="BU37" s="46">
        <v>35.799999999999997</v>
      </c>
      <c r="BV37" s="46">
        <v>0</v>
      </c>
      <c r="BW37" s="47">
        <v>20.100000000000001</v>
      </c>
    </row>
    <row r="38" spans="1:75">
      <c r="A38" t="s">
        <v>615</v>
      </c>
      <c r="B38" t="s">
        <v>169</v>
      </c>
      <c r="C38" s="409">
        <f>AA36*(1+KTDB_발생량도착량_증가율!$C$8) * (1+KTDB_발생량도착량_증가율!$D$8*5) * (1+KTDB_발생량도착량_증가율!$E$8*5) * (1+KTDB_발생량도착량_증가율!$F$8*5)</f>
        <v>523.96298407916834</v>
      </c>
      <c r="D38" s="409">
        <f>AB36*(1+KTDB_발생량도착량_증가율!$C$7)*(1+KTDB_발생량도착량_증가율!$D$7*5)*(1+KTDB_발생량도착량_증가율!$E$7*5)*(1+KTDB_발생량도착량_증가율!$F$7*5)</f>
        <v>523.96298407916834</v>
      </c>
      <c r="E38" s="408">
        <f>AC36*(1+KTDB_발생량도착량_증가율!$C$8) * (1+KTDB_발생량도착량_증가율!$D$8*5) * (1+KTDB_발생량도착량_증가율!$E$8*5) * (1+KTDB_발생량도착량_증가율!$F$8*5)</f>
        <v>109.41579961653218</v>
      </c>
      <c r="F38" s="408">
        <f>AD36*(1+KTDB_발생량도착량_증가율!$C$7)*(1+KTDB_발생량도착량_증가율!$D$7*5)*(1+KTDB_발생량도착량_증가율!$E$7*5)*(1+KTDB_발생량도착량_증가율!$F$7*5)</f>
        <v>109.41579961653218</v>
      </c>
      <c r="G38" s="409">
        <f>AE36*(1+KTDB_발생량도착량_증가율!$C$8) * (1+KTDB_발생량도착량_증가율!$D$8*5) * (1+KTDB_발생량도착량_증가율!$E$8*5) * (1+KTDB_발생량도착량_증가율!$F$8*5)</f>
        <v>453.07387446845729</v>
      </c>
      <c r="H38" s="409">
        <f>AF36*(1+KTDB_발생량도착량_증가율!$C$7)*(1+KTDB_발생량도착량_증가율!$D$7*5)*(1+KTDB_발생량도착량_증가율!$E$7*5)*(1+KTDB_발생량도착량_증가율!$F$7*5)</f>
        <v>453.07387446845729</v>
      </c>
      <c r="I38" s="68"/>
      <c r="J38" s="68"/>
      <c r="K38" s="68">
        <f t="shared" si="9"/>
        <v>1086.4526581641578</v>
      </c>
      <c r="L38" s="68">
        <f t="shared" si="8"/>
        <v>1086.4526581641578</v>
      </c>
      <c r="M38" s="68">
        <f t="shared" si="10"/>
        <v>2172.9053163283156</v>
      </c>
      <c r="P38" s="56"/>
      <c r="Q38" s="56"/>
      <c r="R38" s="56"/>
      <c r="S38" s="56"/>
      <c r="T38" s="301"/>
      <c r="U38" s="301"/>
      <c r="V38" s="56"/>
      <c r="W38" s="56"/>
      <c r="X38" s="56"/>
      <c r="Y38" t="s">
        <v>211</v>
      </c>
      <c r="Z38" t="s">
        <v>171</v>
      </c>
      <c r="AA38" s="314">
        <f>AA20*$BJ$42*$BF$21</f>
        <v>11.572000000000001</v>
      </c>
      <c r="AB38" s="314">
        <f>AB20*$BJ$42*$BF$21</f>
        <v>11.572000000000001</v>
      </c>
      <c r="AC38" s="314">
        <f>AA20*$BK$42*$BF$21</f>
        <v>0.83599999999999997</v>
      </c>
      <c r="AD38" s="314">
        <f>AB20*$BK$42*$BF$21</f>
        <v>0.83599999999999997</v>
      </c>
      <c r="AE38" s="314">
        <f>AA20*$BL$42*$BF$21</f>
        <v>24.288000000000004</v>
      </c>
      <c r="AF38" s="314">
        <f>AB20*$BL$42*$BF$21</f>
        <v>24.288000000000004</v>
      </c>
      <c r="AG38" s="69"/>
      <c r="AH38" s="69"/>
      <c r="AI38" s="69"/>
      <c r="AJ38" s="69"/>
      <c r="AK38" s="69"/>
      <c r="AN38" t="s">
        <v>211</v>
      </c>
      <c r="AO38" t="s">
        <v>171</v>
      </c>
      <c r="AP38" s="314">
        <f>AP20*$BJ$42*$BF$21</f>
        <v>11.572000000000001</v>
      </c>
      <c r="AQ38" s="314">
        <f>AQ20*$BJ$42*$BF$21</f>
        <v>11.572000000000001</v>
      </c>
      <c r="AR38" s="314">
        <f>AP20*$BK$42*$BF$21</f>
        <v>0.83599999999999997</v>
      </c>
      <c r="AS38" s="314">
        <f>AQ20*$BK$42*$BF$21</f>
        <v>0.83599999999999997</v>
      </c>
      <c r="AT38" s="314">
        <f>AP20*$BL$42*$BF$21</f>
        <v>24.288000000000004</v>
      </c>
      <c r="AU38" s="314">
        <f>AQ20*$BL$42*$BF$21</f>
        <v>24.288000000000004</v>
      </c>
      <c r="AV38" s="69"/>
      <c r="AW38" s="69"/>
      <c r="AX38" s="69"/>
      <c r="AY38" s="69"/>
      <c r="AZ38" s="69"/>
      <c r="BG38" s="554"/>
      <c r="BH38" s="559" t="s">
        <v>169</v>
      </c>
      <c r="BI38" s="46" t="s">
        <v>9</v>
      </c>
      <c r="BJ38" s="46">
        <v>34</v>
      </c>
      <c r="BK38" s="46">
        <v>7.1</v>
      </c>
      <c r="BL38" s="46">
        <v>29.4</v>
      </c>
      <c r="BM38" s="46">
        <v>0</v>
      </c>
      <c r="BN38" s="47">
        <v>29.5</v>
      </c>
      <c r="BP38" s="554"/>
      <c r="BQ38" s="559" t="s">
        <v>169</v>
      </c>
      <c r="BR38" s="46" t="s">
        <v>9</v>
      </c>
      <c r="BS38" s="46">
        <v>34</v>
      </c>
      <c r="BT38" s="46">
        <v>7.1</v>
      </c>
      <c r="BU38" s="46">
        <v>29.5</v>
      </c>
      <c r="BV38" s="46">
        <v>0</v>
      </c>
      <c r="BW38" s="47">
        <v>29.4</v>
      </c>
    </row>
    <row r="39" spans="1:75" ht="17" customHeight="1">
      <c r="A39" t="s">
        <v>616</v>
      </c>
      <c r="B39" t="s">
        <v>170</v>
      </c>
      <c r="C39" s="409">
        <f>AA37*(1+KTDB_발생량도착량_증가율!$C$8) * (1+KTDB_발생량도착량_증가율!$D$8*5) * (1+KTDB_발생량도착량_증가율!$E$8*5) * (1+KTDB_발생량도착량_증가율!$F$8*5)</f>
        <v>433.34781580510662</v>
      </c>
      <c r="D39" s="409">
        <f>AB37*(1+KTDB_발생량도착량_증가율!$C$7)*(1+KTDB_발생량도착량_증가율!$D$7*5)*(1+KTDB_발생량도착량_증가율!$E$7*5)*(1+KTDB_발생량도착량_증가율!$F$7*5)</f>
        <v>433.34781580510662</v>
      </c>
      <c r="E39" s="409">
        <f>AC37*(1+KTDB_발생량도착량_증가율!$C$8) * (1+KTDB_발생량도착량_증가율!$D$8*5) * (1+KTDB_발생량도착량_증가율!$E$8*5) * (1+KTDB_발생량도착량_증가율!$F$8*5)</f>
        <v>90.493220359301688</v>
      </c>
      <c r="F39" s="409">
        <f>AD37*(1+KTDB_발생량도착량_증가율!$C$7)*(1+KTDB_발생량도착량_증가율!$D$7*5)*(1+KTDB_발생량도착량_증가율!$E$7*5)*(1+KTDB_발생량도착량_증가율!$F$7*5)</f>
        <v>90.493220359301688</v>
      </c>
      <c r="G39" s="409">
        <f>AE37*(1+KTDB_발생량도착량_증가율!$C$8) * (1+KTDB_발생량도착량_증가율!$D$8*5) * (1+KTDB_발생량도착량_증가율!$E$8*5) * (1+KTDB_발생량도착량_증가율!$F$8*5)</f>
        <v>374.71840543147454</v>
      </c>
      <c r="H39" s="409">
        <f>AF37*(1+KTDB_발생량도착량_증가율!$C$7)*(1+KTDB_발생량도착량_증가율!$D$7*5)*(1+KTDB_발생량도착량_증가율!$E$7*5)*(1+KTDB_발생량도착량_증가율!$F$7*5)</f>
        <v>374.71840543147454</v>
      </c>
      <c r="I39" s="68"/>
      <c r="J39" s="68"/>
      <c r="K39" s="68">
        <f t="shared" si="9"/>
        <v>898.55944159588284</v>
      </c>
      <c r="L39" s="68">
        <f t="shared" si="8"/>
        <v>898.55944159588284</v>
      </c>
      <c r="M39" s="68">
        <f t="shared" si="10"/>
        <v>1797.1188831917657</v>
      </c>
      <c r="P39" s="56"/>
      <c r="Q39" s="56"/>
      <c r="R39" s="56"/>
      <c r="S39" s="56"/>
      <c r="T39" s="301"/>
      <c r="U39" s="301"/>
      <c r="V39" s="56"/>
      <c r="W39" s="56"/>
      <c r="X39" s="56"/>
      <c r="BG39" s="554"/>
      <c r="BH39" s="558"/>
      <c r="BI39" s="46" t="s">
        <v>10</v>
      </c>
      <c r="BJ39" s="46">
        <v>28.4</v>
      </c>
      <c r="BK39" s="46">
        <v>7</v>
      </c>
      <c r="BL39" s="46">
        <v>32.200000000000003</v>
      </c>
      <c r="BM39" s="46">
        <v>0</v>
      </c>
      <c r="BN39" s="47">
        <v>32.4</v>
      </c>
      <c r="BP39" s="554"/>
      <c r="BQ39" s="558"/>
      <c r="BR39" s="46" t="s">
        <v>10</v>
      </c>
      <c r="BS39" s="46">
        <v>28.5</v>
      </c>
      <c r="BT39" s="46">
        <v>7</v>
      </c>
      <c r="BU39" s="46">
        <v>32.200000000000003</v>
      </c>
      <c r="BV39" s="46">
        <v>0</v>
      </c>
      <c r="BW39" s="47">
        <v>32.299999999999997</v>
      </c>
    </row>
    <row r="40" spans="1:75">
      <c r="A40" t="s">
        <v>617</v>
      </c>
      <c r="B40" t="s">
        <v>171</v>
      </c>
      <c r="C40" s="408">
        <f>AA38*(1+KTDB_발생량도착량_증가율!$C$8) * (1+KTDB_발생량도착량_증가율!$D$8*5) * (1+KTDB_발생량도착량_증가율!$E$8*5) * (1+KTDB_발생량도착량_증가율!$F$8*5)</f>
        <v>11.380494109696563</v>
      </c>
      <c r="D40" s="408">
        <f>AB38*(1+KTDB_발생량도착량_증가율!$C$7)*(1+KTDB_발생량도착량_증가율!$D$7*5)*(1+KTDB_발생량도착량_증가율!$E$7*5)*(1+KTDB_발생량도착량_증가율!$F$7*5)</f>
        <v>11.380494109696563</v>
      </c>
      <c r="E40" s="408">
        <f>AC38*(1+KTDB_발생량도착량_증가율!$C$8) * (1+KTDB_발생량도착량_증가율!$D$8*5) * (1+KTDB_발생량도착량_증가율!$E$8*5) * (1+KTDB_발생량도착량_증가율!$F$8*5)</f>
        <v>0.82216497370431463</v>
      </c>
      <c r="F40" s="408">
        <f>AD38*(1+KTDB_발생량도착량_증가율!$C$7)*(1+KTDB_발생량도착량_증가율!$D$7*5)*(1+KTDB_발생량도착량_증가율!$E$7*5)*(1+KTDB_발생량도착량_증가율!$F$7*5)</f>
        <v>0.82216497370431463</v>
      </c>
      <c r="G40" s="408">
        <f>AE38*(1+KTDB_발생량도착량_증가율!$C$8) * (1+KTDB_발생량도착량_증가율!$D$8*5) * (1+KTDB_발생량도착량_증가율!$E$8*5) * (1+KTDB_발생량도착량_증가율!$F$8*5)</f>
        <v>23.886056078146407</v>
      </c>
      <c r="H40" s="408">
        <f>AF38*(1+KTDB_발생량도착량_증가율!$C$7)*(1+KTDB_발생량도착량_증가율!$D$7*5)*(1+KTDB_발생량도착량_증가율!$E$7*5)*(1+KTDB_발생량도착량_증가율!$F$7*5)</f>
        <v>23.886056078146407</v>
      </c>
      <c r="I40" s="69"/>
      <c r="J40" s="69"/>
      <c r="K40" s="69">
        <f t="shared" si="9"/>
        <v>36.088715161547285</v>
      </c>
      <c r="L40" s="69">
        <f t="shared" si="8"/>
        <v>36.088715161547285</v>
      </c>
      <c r="M40" s="69">
        <f t="shared" si="10"/>
        <v>72.177430323094569</v>
      </c>
      <c r="P40" s="56"/>
      <c r="Q40" s="56"/>
      <c r="R40" s="56"/>
      <c r="S40" s="56"/>
      <c r="T40" s="301"/>
      <c r="U40" s="301"/>
      <c r="V40" s="56"/>
      <c r="W40" s="56"/>
      <c r="X40" s="56"/>
      <c r="BG40" s="554"/>
      <c r="BH40" s="559" t="s">
        <v>170</v>
      </c>
      <c r="BI40" s="46" t="s">
        <v>9</v>
      </c>
      <c r="BJ40" s="46">
        <v>34</v>
      </c>
      <c r="BK40" s="46">
        <v>7.1</v>
      </c>
      <c r="BL40" s="46">
        <v>29.4</v>
      </c>
      <c r="BM40" s="46">
        <v>0</v>
      </c>
      <c r="BN40" s="47">
        <v>29.5</v>
      </c>
      <c r="BP40" s="554"/>
      <c r="BQ40" s="559" t="s">
        <v>170</v>
      </c>
      <c r="BR40" s="46" t="s">
        <v>9</v>
      </c>
      <c r="BS40" s="46">
        <v>34</v>
      </c>
      <c r="BT40" s="46">
        <v>7.1</v>
      </c>
      <c r="BU40" s="46">
        <v>29.5</v>
      </c>
      <c r="BV40" s="46">
        <v>0</v>
      </c>
      <c r="BW40" s="47">
        <v>29.4</v>
      </c>
    </row>
    <row r="41" spans="1:75" ht="17" customHeight="1">
      <c r="A41" t="s">
        <v>26</v>
      </c>
      <c r="B41" t="s">
        <v>26</v>
      </c>
      <c r="C41" s="56">
        <f>SUM(C29:C40)</f>
        <v>6101.5311491401635</v>
      </c>
      <c r="D41" s="56">
        <f t="shared" ref="D41:M41" si="11">SUM(D29:D40)</f>
        <v>6101.5311491401635</v>
      </c>
      <c r="E41" s="56">
        <f t="shared" si="11"/>
        <v>1247.4160380399144</v>
      </c>
      <c r="F41" s="56">
        <f t="shared" si="11"/>
        <v>1247.4160380399144</v>
      </c>
      <c r="G41" s="56">
        <f t="shared" si="11"/>
        <v>8177.7612725915897</v>
      </c>
      <c r="H41" s="56">
        <f t="shared" si="11"/>
        <v>8177.7612725915897</v>
      </c>
      <c r="I41" s="56">
        <f t="shared" si="11"/>
        <v>0</v>
      </c>
      <c r="J41" s="56">
        <f t="shared" si="11"/>
        <v>0</v>
      </c>
      <c r="K41" s="56">
        <f t="shared" si="11"/>
        <v>15526.708459771668</v>
      </c>
      <c r="L41" s="56">
        <f t="shared" si="11"/>
        <v>15526.708459771668</v>
      </c>
      <c r="M41" s="56">
        <f t="shared" si="11"/>
        <v>31053.416919543335</v>
      </c>
      <c r="P41" s="56"/>
      <c r="Q41" s="56"/>
      <c r="R41" s="56"/>
      <c r="S41" s="56"/>
      <c r="T41" s="301"/>
      <c r="U41" s="301"/>
      <c r="V41" s="56"/>
      <c r="W41" s="56"/>
      <c r="X41" s="56"/>
      <c r="BG41" s="554"/>
      <c r="BH41" s="558"/>
      <c r="BI41" s="46" t="s">
        <v>10</v>
      </c>
      <c r="BJ41" s="46">
        <v>28.4</v>
      </c>
      <c r="BK41" s="46">
        <v>7</v>
      </c>
      <c r="BL41" s="46">
        <v>32.200000000000003</v>
      </c>
      <c r="BM41" s="46">
        <v>0</v>
      </c>
      <c r="BN41" s="47">
        <v>32.4</v>
      </c>
      <c r="BP41" s="554"/>
      <c r="BQ41" s="558"/>
      <c r="BR41" s="46" t="s">
        <v>10</v>
      </c>
      <c r="BS41" s="46">
        <v>28.5</v>
      </c>
      <c r="BT41" s="46">
        <v>7</v>
      </c>
      <c r="BU41" s="46">
        <v>32.200000000000003</v>
      </c>
      <c r="BV41" s="46">
        <v>0</v>
      </c>
      <c r="BW41" s="47">
        <v>32.299999999999997</v>
      </c>
    </row>
    <row r="42" spans="1:75"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P42" s="56"/>
      <c r="Q42" s="56"/>
      <c r="R42" s="56"/>
      <c r="S42" s="56"/>
      <c r="T42" s="301"/>
      <c r="U42" s="301"/>
      <c r="V42" s="56"/>
      <c r="W42" s="56"/>
      <c r="X42" s="56"/>
      <c r="BG42" s="554"/>
      <c r="BH42" s="559" t="s">
        <v>171</v>
      </c>
      <c r="BI42" s="46" t="s">
        <v>9</v>
      </c>
      <c r="BJ42" s="46">
        <v>26.3</v>
      </c>
      <c r="BK42" s="46">
        <v>1.9</v>
      </c>
      <c r="BL42" s="46">
        <v>55.2</v>
      </c>
      <c r="BM42" s="46">
        <v>0</v>
      </c>
      <c r="BN42" s="47">
        <v>16.600000000000001</v>
      </c>
      <c r="BP42" s="554"/>
      <c r="BQ42" s="559" t="s">
        <v>171</v>
      </c>
      <c r="BR42" s="46" t="s">
        <v>9</v>
      </c>
      <c r="BS42" s="46">
        <v>26.3</v>
      </c>
      <c r="BT42" s="46">
        <v>1.9</v>
      </c>
      <c r="BU42" s="46">
        <v>55.3</v>
      </c>
      <c r="BV42" s="46">
        <v>0</v>
      </c>
      <c r="BW42" s="47">
        <v>16.5</v>
      </c>
    </row>
    <row r="43" spans="1:75" ht="17.5" thickBot="1"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P43" s="56"/>
      <c r="Q43" s="56"/>
      <c r="R43" s="56"/>
      <c r="S43" s="56"/>
      <c r="T43" s="301"/>
      <c r="U43" s="301"/>
      <c r="V43" s="56"/>
      <c r="W43" s="56"/>
      <c r="X43" s="56"/>
      <c r="BG43" s="555"/>
      <c r="BH43" s="558"/>
      <c r="BI43" s="46" t="s">
        <v>10</v>
      </c>
      <c r="BJ43" s="46">
        <v>28</v>
      </c>
      <c r="BK43" s="46">
        <v>3.9</v>
      </c>
      <c r="BL43" s="46">
        <v>19.5</v>
      </c>
      <c r="BM43" s="46">
        <v>0</v>
      </c>
      <c r="BN43" s="47">
        <v>48.6</v>
      </c>
      <c r="BP43" s="560"/>
      <c r="BQ43" s="561"/>
      <c r="BR43" s="48" t="s">
        <v>10</v>
      </c>
      <c r="BS43" s="48">
        <v>28.1</v>
      </c>
      <c r="BT43" s="48">
        <v>3.9</v>
      </c>
      <c r="BU43" s="48">
        <v>19.600000000000001</v>
      </c>
      <c r="BV43" s="48">
        <v>0</v>
      </c>
      <c r="BW43" s="49">
        <v>48.4</v>
      </c>
    </row>
    <row r="44" spans="1:75" ht="17.5" thickTop="1"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P44" s="56"/>
      <c r="Q44" s="56"/>
      <c r="R44" s="56"/>
      <c r="S44" s="56"/>
      <c r="T44" s="301"/>
      <c r="U44" s="301"/>
      <c r="V44" s="56"/>
      <c r="W44" s="56"/>
      <c r="X44" s="56"/>
    </row>
    <row r="45" spans="1:75">
      <c r="C45" s="56"/>
      <c r="D45" s="56"/>
      <c r="E45" s="56"/>
      <c r="F45" s="56"/>
      <c r="G45" s="56"/>
      <c r="H45" s="56"/>
      <c r="I45" s="56"/>
      <c r="J45" s="56"/>
      <c r="K45" s="56"/>
      <c r="L45" s="56"/>
      <c r="M45" s="56"/>
      <c r="P45" s="56"/>
      <c r="Q45" s="56"/>
      <c r="R45" s="56"/>
      <c r="S45" s="56"/>
      <c r="T45" s="301"/>
      <c r="U45" s="301"/>
      <c r="V45" s="56"/>
      <c r="W45" s="56"/>
      <c r="X45" s="56"/>
    </row>
    <row r="46" spans="1:75">
      <c r="A46" s="76" t="s">
        <v>663</v>
      </c>
      <c r="C46" s="56"/>
      <c r="D46" s="56"/>
      <c r="E46" s="56"/>
      <c r="F46" s="56"/>
      <c r="G46" s="56"/>
      <c r="H46" s="56"/>
      <c r="I46" s="56"/>
      <c r="J46" s="56"/>
      <c r="K46" s="56"/>
      <c r="L46" s="56"/>
      <c r="M46" s="56"/>
      <c r="P46" s="56"/>
      <c r="Q46" s="56"/>
      <c r="R46" s="56"/>
      <c r="S46" s="56"/>
      <c r="T46" s="301"/>
      <c r="U46" s="301"/>
      <c r="V46" s="56"/>
      <c r="W46" s="56"/>
      <c r="X46" s="56"/>
    </row>
    <row r="47" spans="1:75">
      <c r="P47" s="56"/>
      <c r="Q47" s="56"/>
      <c r="R47" s="56"/>
      <c r="S47" s="56"/>
      <c r="T47" s="301"/>
      <c r="U47" s="301"/>
      <c r="V47" s="56"/>
      <c r="W47" s="56"/>
      <c r="X47" s="56"/>
    </row>
    <row r="48" spans="1:75">
      <c r="A48" s="32"/>
      <c r="C48" s="56"/>
      <c r="D48" s="56"/>
      <c r="E48" s="56"/>
      <c r="F48" s="56"/>
      <c r="G48" s="56"/>
      <c r="H48" s="56"/>
      <c r="I48" s="56"/>
      <c r="J48" s="56"/>
      <c r="K48" s="56"/>
      <c r="L48" s="56"/>
      <c r="M48" s="56"/>
      <c r="P48" s="56"/>
      <c r="Q48" s="56"/>
      <c r="R48" s="56"/>
      <c r="S48" s="56"/>
      <c r="T48" s="301"/>
      <c r="U48" s="301"/>
      <c r="V48" s="56"/>
      <c r="W48" s="56"/>
      <c r="X48" s="56"/>
    </row>
    <row r="49" spans="1:167"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P49" s="56"/>
      <c r="Q49" s="56"/>
      <c r="R49" s="56"/>
      <c r="S49" s="56"/>
      <c r="T49" s="301"/>
      <c r="U49" s="301"/>
      <c r="V49" s="56"/>
      <c r="W49" s="56"/>
      <c r="X49" s="56"/>
    </row>
    <row r="50" spans="1:167">
      <c r="C50" s="56"/>
      <c r="D50" s="56"/>
      <c r="E50" s="56"/>
      <c r="F50" s="56"/>
      <c r="G50" s="56"/>
      <c r="H50" s="56"/>
      <c r="I50" s="56"/>
      <c r="J50" s="56"/>
      <c r="K50" s="56"/>
      <c r="L50" s="56"/>
      <c r="M50" s="56"/>
      <c r="P50" s="56"/>
      <c r="Q50" s="56"/>
      <c r="R50" s="56"/>
      <c r="S50" s="56"/>
      <c r="T50" s="301"/>
      <c r="U50" s="301"/>
      <c r="V50" s="56"/>
      <c r="W50" s="56"/>
      <c r="X50" s="56"/>
    </row>
    <row r="51" spans="1:167">
      <c r="C51" s="56"/>
      <c r="D51" s="56"/>
      <c r="E51" s="56"/>
      <c r="F51" s="56"/>
      <c r="G51" s="56"/>
      <c r="H51" s="56"/>
      <c r="I51" s="56"/>
      <c r="J51" s="56"/>
      <c r="K51" s="56"/>
      <c r="L51" s="56"/>
      <c r="M51" s="56"/>
      <c r="P51" s="56"/>
      <c r="Q51" s="56"/>
      <c r="R51" s="56"/>
      <c r="S51" s="56"/>
      <c r="T51" s="301"/>
      <c r="U51" s="301"/>
      <c r="V51" s="56"/>
      <c r="W51" s="56"/>
      <c r="X51" s="56"/>
    </row>
    <row r="52" spans="1:167">
      <c r="C52" s="56"/>
      <c r="D52" s="56"/>
      <c r="E52" s="56"/>
      <c r="F52" s="56"/>
      <c r="G52" s="56"/>
      <c r="H52" s="56"/>
      <c r="I52" s="56"/>
      <c r="J52" s="56"/>
      <c r="K52" s="56"/>
      <c r="L52" s="56"/>
      <c r="M52" s="56"/>
      <c r="P52" s="56"/>
      <c r="Q52" s="56"/>
      <c r="R52" s="56"/>
      <c r="S52" s="56"/>
      <c r="T52" s="301"/>
      <c r="U52" s="301"/>
      <c r="V52" s="56"/>
      <c r="W52" s="56"/>
      <c r="X52" s="56"/>
    </row>
    <row r="53" spans="1:167"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P53" s="56"/>
      <c r="Q53" s="56"/>
      <c r="R53" s="56"/>
      <c r="S53" s="56"/>
      <c r="T53" s="301"/>
      <c r="U53" s="301"/>
      <c r="V53" s="56"/>
      <c r="W53" s="56"/>
      <c r="X53" s="56"/>
      <c r="EG53" s="32" t="s">
        <v>863</v>
      </c>
    </row>
    <row r="54" spans="1:167"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403"/>
      <c r="O54" s="32" t="s">
        <v>851</v>
      </c>
      <c r="P54" s="56"/>
      <c r="Q54" s="56"/>
      <c r="R54" s="56"/>
      <c r="S54" s="56"/>
      <c r="T54" s="301"/>
      <c r="U54" s="301"/>
      <c r="V54" s="56"/>
      <c r="W54" s="56"/>
      <c r="X54" s="56"/>
      <c r="EF54" s="279"/>
      <c r="EG54" s="279" t="s">
        <v>601</v>
      </c>
    </row>
    <row r="55" spans="1:167">
      <c r="C55" s="56"/>
      <c r="D55" s="56"/>
      <c r="E55" s="56"/>
      <c r="F55" s="56"/>
      <c r="G55" s="56"/>
      <c r="H55" s="56"/>
      <c r="I55" s="56"/>
      <c r="J55" s="56"/>
      <c r="K55" s="56"/>
      <c r="L55" s="56"/>
      <c r="M55" s="56"/>
      <c r="P55" s="56"/>
      <c r="Q55" s="56"/>
      <c r="R55" s="56"/>
      <c r="S55" s="56"/>
      <c r="T55" s="301"/>
      <c r="U55" s="301"/>
      <c r="V55" s="56"/>
      <c r="W55" s="56"/>
      <c r="X55" s="56"/>
      <c r="EF55" s="279" t="s">
        <v>602</v>
      </c>
      <c r="EG55" s="293">
        <v>1</v>
      </c>
    </row>
    <row r="56" spans="1:167"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P56" s="56"/>
      <c r="Q56" s="56"/>
      <c r="R56" s="56"/>
      <c r="S56" s="56"/>
      <c r="T56" s="301"/>
      <c r="U56" s="301"/>
      <c r="V56" s="56"/>
      <c r="W56" s="56"/>
      <c r="X56" s="56"/>
    </row>
    <row r="57" spans="1:167"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P57" s="56"/>
      <c r="Q57" s="56"/>
      <c r="R57" s="56"/>
      <c r="S57" s="56"/>
      <c r="T57" s="301"/>
      <c r="U57" s="301"/>
      <c r="V57" s="56"/>
      <c r="W57" s="56"/>
      <c r="X57" s="56"/>
    </row>
    <row r="58" spans="1:167" s="227" customFormat="1" ht="25.5">
      <c r="A58" s="285">
        <v>2025</v>
      </c>
      <c r="B58" s="282"/>
      <c r="C58" s="283"/>
      <c r="D58" s="284"/>
      <c r="E58" s="284"/>
      <c r="F58" s="284"/>
      <c r="G58" s="284"/>
      <c r="H58" s="284"/>
      <c r="I58" s="284"/>
      <c r="K58" s="282"/>
      <c r="L58" s="282"/>
      <c r="M58" s="283"/>
      <c r="N58" s="284"/>
      <c r="O58" s="284"/>
      <c r="P58" s="284"/>
      <c r="Q58" s="284"/>
      <c r="R58" s="284"/>
      <c r="S58" s="284"/>
    </row>
    <row r="59" spans="1:167" ht="23.5" thickBot="1">
      <c r="A59" s="32" t="s">
        <v>468</v>
      </c>
      <c r="C59" t="s">
        <v>463</v>
      </c>
      <c r="D59" t="s">
        <v>467</v>
      </c>
      <c r="E59" t="s">
        <v>470</v>
      </c>
      <c r="F59" t="s">
        <v>465</v>
      </c>
      <c r="G59" t="s">
        <v>466</v>
      </c>
      <c r="H59" t="s">
        <v>21</v>
      </c>
      <c r="K59" s="32" t="s">
        <v>471</v>
      </c>
      <c r="CV59" s="32" t="s">
        <v>492</v>
      </c>
      <c r="CY59" t="s">
        <v>478</v>
      </c>
      <c r="CZ59" t="s">
        <v>479</v>
      </c>
      <c r="EK59" s="353" t="s">
        <v>859</v>
      </c>
      <c r="EU59" s="353" t="s">
        <v>745</v>
      </c>
      <c r="FD59" s="353"/>
    </row>
    <row r="60" spans="1:167">
      <c r="A60" t="s">
        <v>462</v>
      </c>
      <c r="C60" t="s">
        <v>427</v>
      </c>
      <c r="D60" t="s">
        <v>428</v>
      </c>
      <c r="E60" t="s">
        <v>429</v>
      </c>
      <c r="F60" t="s">
        <v>430</v>
      </c>
      <c r="G60" t="s">
        <v>431</v>
      </c>
      <c r="H60" t="s">
        <v>457</v>
      </c>
      <c r="K60" s="159" t="s">
        <v>482</v>
      </c>
      <c r="L60" s="159"/>
      <c r="M60" s="443" t="s">
        <v>463</v>
      </c>
      <c r="N60" s="444"/>
      <c r="O60" s="444"/>
      <c r="P60" s="444"/>
      <c r="Q60" s="444"/>
      <c r="R60" s="444"/>
      <c r="S60" s="444"/>
      <c r="T60" s="444"/>
      <c r="U60" s="444"/>
      <c r="V60" s="444"/>
      <c r="W60" s="444"/>
      <c r="X60" s="444"/>
      <c r="Y60" s="444"/>
      <c r="Z60" s="445"/>
      <c r="AA60" s="443" t="s">
        <v>467</v>
      </c>
      <c r="AB60" s="444"/>
      <c r="AC60" s="444"/>
      <c r="AD60" s="444"/>
      <c r="AE60" s="444"/>
      <c r="AF60" s="444"/>
      <c r="AG60" s="444"/>
      <c r="AH60" s="444"/>
      <c r="AI60" s="444"/>
      <c r="AJ60" s="444"/>
      <c r="AK60" s="444"/>
      <c r="AL60" s="444"/>
      <c r="AM60" s="444"/>
      <c r="AN60" s="445"/>
      <c r="AO60" s="443" t="s">
        <v>464</v>
      </c>
      <c r="AP60" s="444"/>
      <c r="AQ60" s="444"/>
      <c r="AR60" s="444"/>
      <c r="AS60" s="444"/>
      <c r="AT60" s="444"/>
      <c r="AU60" s="444"/>
      <c r="AV60" s="444"/>
      <c r="AW60" s="444"/>
      <c r="AX60" s="444"/>
      <c r="AY60" s="444"/>
      <c r="AZ60" s="444"/>
      <c r="BA60" s="444"/>
      <c r="BB60" s="445"/>
      <c r="BC60" s="443" t="s">
        <v>465</v>
      </c>
      <c r="BD60" s="444"/>
      <c r="BE60" s="444"/>
      <c r="BF60" s="444"/>
      <c r="BG60" s="444"/>
      <c r="BH60" s="444"/>
      <c r="BI60" s="444"/>
      <c r="BJ60" s="444"/>
      <c r="BK60" s="444"/>
      <c r="BL60" s="444"/>
      <c r="BM60" s="444"/>
      <c r="BN60" s="444"/>
      <c r="BO60" s="444"/>
      <c r="BP60" s="445"/>
      <c r="BQ60" s="443" t="s">
        <v>466</v>
      </c>
      <c r="BR60" s="444"/>
      <c r="BS60" s="444"/>
      <c r="BT60" s="444"/>
      <c r="BU60" s="444"/>
      <c r="BV60" s="444"/>
      <c r="BW60" s="444"/>
      <c r="BX60" s="444"/>
      <c r="BY60" s="444"/>
      <c r="BZ60" s="444"/>
      <c r="CA60" s="444"/>
      <c r="CB60" s="444"/>
      <c r="CC60" s="444"/>
      <c r="CD60" s="445"/>
      <c r="CE60" s="443" t="s">
        <v>21</v>
      </c>
      <c r="CF60" s="444"/>
      <c r="CG60" s="444"/>
      <c r="CH60" s="444"/>
      <c r="CI60" s="444"/>
      <c r="CJ60" s="444"/>
      <c r="CK60" s="444"/>
      <c r="CL60" s="444"/>
      <c r="CM60" s="444"/>
      <c r="CN60" s="444"/>
      <c r="CO60" s="444"/>
      <c r="CP60" s="444"/>
      <c r="CQ60" s="444"/>
      <c r="CR60" s="445"/>
      <c r="CV60" s="263" t="s">
        <v>482</v>
      </c>
      <c r="CW60" s="263"/>
      <c r="CX60" s="446" t="s">
        <v>554</v>
      </c>
      <c r="CY60" s="439"/>
      <c r="CZ60" s="439"/>
      <c r="DA60" s="440"/>
      <c r="DB60" s="438" t="s">
        <v>553</v>
      </c>
      <c r="DC60" s="439"/>
      <c r="DD60" s="439"/>
      <c r="DE60" s="440"/>
      <c r="DF60" s="438" t="s">
        <v>464</v>
      </c>
      <c r="DG60" s="439"/>
      <c r="DH60" s="439"/>
      <c r="DI60" s="440"/>
      <c r="DJ60" s="438" t="s">
        <v>465</v>
      </c>
      <c r="DK60" s="439"/>
      <c r="DL60" s="439"/>
      <c r="DM60" s="440"/>
      <c r="DN60" s="438" t="s">
        <v>466</v>
      </c>
      <c r="DO60" s="439"/>
      <c r="DP60" s="439"/>
      <c r="DQ60" s="440"/>
      <c r="DR60" s="438" t="s">
        <v>21</v>
      </c>
      <c r="DS60" s="439"/>
      <c r="DT60" s="439"/>
      <c r="DU60" s="441"/>
      <c r="DW60" s="278"/>
      <c r="DX60" s="278"/>
      <c r="DY60" s="442" t="s">
        <v>588</v>
      </c>
      <c r="DZ60" s="442"/>
      <c r="EB60" s="278"/>
      <c r="EC60" s="278"/>
      <c r="ED60" s="442" t="s">
        <v>588</v>
      </c>
      <c r="EE60" s="442"/>
      <c r="EI60" t="s">
        <v>599</v>
      </c>
    </row>
    <row r="61" spans="1:167">
      <c r="A61" s="199"/>
      <c r="B61" s="199"/>
      <c r="C61" s="202" t="s">
        <v>463</v>
      </c>
      <c r="D61" s="202" t="s">
        <v>467</v>
      </c>
      <c r="E61" s="202" t="s">
        <v>464</v>
      </c>
      <c r="F61" s="202" t="s">
        <v>465</v>
      </c>
      <c r="G61" s="202" t="s">
        <v>466</v>
      </c>
      <c r="H61" s="202" t="s">
        <v>21</v>
      </c>
      <c r="K61" s="159"/>
      <c r="L61" s="159"/>
      <c r="M61" s="211" t="s">
        <v>472</v>
      </c>
      <c r="N61" s="160" t="s">
        <v>156</v>
      </c>
      <c r="O61" s="160" t="s">
        <v>475</v>
      </c>
      <c r="P61" s="160" t="s">
        <v>476</v>
      </c>
      <c r="Q61" s="160" t="s">
        <v>477</v>
      </c>
      <c r="R61" s="160" t="s">
        <v>478</v>
      </c>
      <c r="S61" s="160" t="s">
        <v>479</v>
      </c>
      <c r="T61" s="160" t="s">
        <v>480</v>
      </c>
      <c r="U61" s="160" t="s">
        <v>449</v>
      </c>
      <c r="V61" s="160" t="s">
        <v>157</v>
      </c>
      <c r="W61" s="160" t="s">
        <v>473</v>
      </c>
      <c r="X61" s="160" t="s">
        <v>474</v>
      </c>
      <c r="Y61" s="160" t="s">
        <v>46</v>
      </c>
      <c r="Z61" s="212" t="s">
        <v>11</v>
      </c>
      <c r="AA61" s="211" t="s">
        <v>472</v>
      </c>
      <c r="AB61" s="160" t="s">
        <v>156</v>
      </c>
      <c r="AC61" s="160" t="s">
        <v>475</v>
      </c>
      <c r="AD61" s="160" t="s">
        <v>476</v>
      </c>
      <c r="AE61" s="160" t="s">
        <v>477</v>
      </c>
      <c r="AF61" s="160" t="s">
        <v>478</v>
      </c>
      <c r="AG61" s="160" t="s">
        <v>479</v>
      </c>
      <c r="AH61" s="160" t="s">
        <v>480</v>
      </c>
      <c r="AI61" s="160" t="s">
        <v>449</v>
      </c>
      <c r="AJ61" s="160" t="s">
        <v>157</v>
      </c>
      <c r="AK61" s="160" t="s">
        <v>473</v>
      </c>
      <c r="AL61" s="160" t="s">
        <v>474</v>
      </c>
      <c r="AM61" s="160" t="s">
        <v>46</v>
      </c>
      <c r="AN61" s="212" t="s">
        <v>11</v>
      </c>
      <c r="AO61" s="211" t="s">
        <v>472</v>
      </c>
      <c r="AP61" s="160" t="s">
        <v>156</v>
      </c>
      <c r="AQ61" s="160" t="s">
        <v>475</v>
      </c>
      <c r="AR61" s="160" t="s">
        <v>476</v>
      </c>
      <c r="AS61" s="160" t="s">
        <v>477</v>
      </c>
      <c r="AT61" s="160" t="s">
        <v>478</v>
      </c>
      <c r="AU61" s="160" t="s">
        <v>479</v>
      </c>
      <c r="AV61" s="160" t="s">
        <v>480</v>
      </c>
      <c r="AW61" s="160" t="s">
        <v>449</v>
      </c>
      <c r="AX61" s="160" t="s">
        <v>157</v>
      </c>
      <c r="AY61" s="160" t="s">
        <v>473</v>
      </c>
      <c r="AZ61" s="160" t="s">
        <v>474</v>
      </c>
      <c r="BA61" s="160" t="s">
        <v>46</v>
      </c>
      <c r="BB61" s="212" t="s">
        <v>11</v>
      </c>
      <c r="BC61" s="211" t="s">
        <v>472</v>
      </c>
      <c r="BD61" s="160" t="s">
        <v>156</v>
      </c>
      <c r="BE61" s="160" t="s">
        <v>475</v>
      </c>
      <c r="BF61" s="160" t="s">
        <v>476</v>
      </c>
      <c r="BG61" s="160" t="s">
        <v>477</v>
      </c>
      <c r="BH61" s="160" t="s">
        <v>478</v>
      </c>
      <c r="BI61" s="160" t="s">
        <v>479</v>
      </c>
      <c r="BJ61" s="160" t="s">
        <v>480</v>
      </c>
      <c r="BK61" s="160" t="s">
        <v>449</v>
      </c>
      <c r="BL61" s="160" t="s">
        <v>157</v>
      </c>
      <c r="BM61" s="160" t="s">
        <v>473</v>
      </c>
      <c r="BN61" s="160" t="s">
        <v>474</v>
      </c>
      <c r="BO61" s="160" t="s">
        <v>46</v>
      </c>
      <c r="BP61" s="212" t="s">
        <v>11</v>
      </c>
      <c r="BQ61" s="211" t="s">
        <v>472</v>
      </c>
      <c r="BR61" s="160" t="s">
        <v>156</v>
      </c>
      <c r="BS61" s="160" t="s">
        <v>475</v>
      </c>
      <c r="BT61" s="160" t="s">
        <v>476</v>
      </c>
      <c r="BU61" s="160" t="s">
        <v>477</v>
      </c>
      <c r="BV61" s="160" t="s">
        <v>478</v>
      </c>
      <c r="BW61" s="160" t="s">
        <v>479</v>
      </c>
      <c r="BX61" s="160" t="s">
        <v>480</v>
      </c>
      <c r="BY61" s="160" t="s">
        <v>449</v>
      </c>
      <c r="BZ61" s="160" t="s">
        <v>157</v>
      </c>
      <c r="CA61" s="160" t="s">
        <v>473</v>
      </c>
      <c r="CB61" s="160" t="s">
        <v>474</v>
      </c>
      <c r="CC61" s="160" t="s">
        <v>46</v>
      </c>
      <c r="CD61" s="212" t="s">
        <v>11</v>
      </c>
      <c r="CE61" s="211" t="s">
        <v>472</v>
      </c>
      <c r="CF61" s="160" t="s">
        <v>156</v>
      </c>
      <c r="CG61" s="160" t="s">
        <v>475</v>
      </c>
      <c r="CH61" s="160" t="s">
        <v>476</v>
      </c>
      <c r="CI61" s="160" t="s">
        <v>477</v>
      </c>
      <c r="CJ61" s="160" t="s">
        <v>478</v>
      </c>
      <c r="CK61" s="160" t="s">
        <v>479</v>
      </c>
      <c r="CL61" s="160" t="s">
        <v>480</v>
      </c>
      <c r="CM61" s="160" t="s">
        <v>449</v>
      </c>
      <c r="CN61" s="160" t="s">
        <v>157</v>
      </c>
      <c r="CO61" s="160" t="s">
        <v>473</v>
      </c>
      <c r="CP61" s="160" t="s">
        <v>474</v>
      </c>
      <c r="CQ61" s="160" t="s">
        <v>46</v>
      </c>
      <c r="CR61" s="212" t="s">
        <v>11</v>
      </c>
      <c r="CV61" s="263"/>
      <c r="CW61" s="263"/>
      <c r="CX61" s="264" t="s">
        <v>156</v>
      </c>
      <c r="CY61" s="264" t="s">
        <v>478</v>
      </c>
      <c r="CZ61" s="264" t="s">
        <v>479</v>
      </c>
      <c r="DA61" s="264" t="s">
        <v>157</v>
      </c>
      <c r="DB61" s="264" t="s">
        <v>156</v>
      </c>
      <c r="DC61" s="264" t="s">
        <v>478</v>
      </c>
      <c r="DD61" s="264" t="s">
        <v>479</v>
      </c>
      <c r="DE61" s="264" t="s">
        <v>157</v>
      </c>
      <c r="DF61" s="264" t="s">
        <v>156</v>
      </c>
      <c r="DG61" s="264" t="s">
        <v>478</v>
      </c>
      <c r="DH61" s="264" t="s">
        <v>479</v>
      </c>
      <c r="DI61" s="264" t="s">
        <v>157</v>
      </c>
      <c r="DJ61" s="264" t="s">
        <v>156</v>
      </c>
      <c r="DK61" s="264" t="s">
        <v>478</v>
      </c>
      <c r="DL61" s="264" t="s">
        <v>479</v>
      </c>
      <c r="DM61" s="264" t="s">
        <v>157</v>
      </c>
      <c r="DN61" s="264" t="s">
        <v>156</v>
      </c>
      <c r="DO61" s="264" t="s">
        <v>478</v>
      </c>
      <c r="DP61" s="264" t="s">
        <v>479</v>
      </c>
      <c r="DQ61" s="264" t="s">
        <v>157</v>
      </c>
      <c r="DR61" s="264" t="s">
        <v>156</v>
      </c>
      <c r="DS61" s="264" t="s">
        <v>478</v>
      </c>
      <c r="DT61" s="264" t="s">
        <v>479</v>
      </c>
      <c r="DU61" s="264" t="s">
        <v>157</v>
      </c>
      <c r="DW61" s="278"/>
      <c r="DX61" s="278"/>
      <c r="DY61" s="280" t="s">
        <v>585</v>
      </c>
      <c r="DZ61" s="280" t="s">
        <v>259</v>
      </c>
      <c r="EB61" s="278"/>
      <c r="EC61" s="278"/>
      <c r="ED61" s="280" t="s">
        <v>585</v>
      </c>
      <c r="EE61" s="280" t="s">
        <v>259</v>
      </c>
      <c r="EK61" s="420" t="s">
        <v>564</v>
      </c>
      <c r="EL61" s="420"/>
      <c r="EM61" s="420" t="s">
        <v>565</v>
      </c>
      <c r="EN61" s="420" t="s">
        <v>566</v>
      </c>
      <c r="EO61" s="420" t="s">
        <v>562</v>
      </c>
      <c r="EP61" s="421" t="s">
        <v>597</v>
      </c>
      <c r="EQ61" s="421" t="s">
        <v>585</v>
      </c>
      <c r="ER61" s="421" t="s">
        <v>604</v>
      </c>
      <c r="ES61" s="424" t="s">
        <v>866</v>
      </c>
      <c r="EU61" s="306" t="s">
        <v>564</v>
      </c>
      <c r="EV61" s="306"/>
      <c r="EW61" s="306" t="s">
        <v>565</v>
      </c>
      <c r="EX61" s="306" t="s">
        <v>566</v>
      </c>
      <c r="EY61" s="306" t="s">
        <v>562</v>
      </c>
      <c r="EZ61" s="307" t="s">
        <v>597</v>
      </c>
      <c r="FA61" s="307" t="s">
        <v>585</v>
      </c>
      <c r="FB61" s="307" t="s">
        <v>259</v>
      </c>
      <c r="FD61" s="101"/>
      <c r="FE61" s="101"/>
      <c r="FF61" s="101"/>
      <c r="FG61" s="101"/>
      <c r="FH61" s="101"/>
      <c r="FI61" s="374"/>
      <c r="FJ61" s="374"/>
      <c r="FK61" s="374"/>
    </row>
    <row r="62" spans="1:167">
      <c r="A62" s="205" t="s">
        <v>605</v>
      </c>
      <c r="B62" s="205" t="s">
        <v>606</v>
      </c>
      <c r="C62" s="201">
        <f>$L29*KTDB_TripDistribution_2040!L$12</f>
        <v>202.59254590720724</v>
      </c>
      <c r="D62" s="201">
        <f>$L29*KTDB_TripDistribution_2040!M$12</f>
        <v>1575.3866535220798</v>
      </c>
      <c r="E62" s="201">
        <f>$L29*KTDB_TripDistribution_2040!N$12</f>
        <v>69.829569686819625</v>
      </c>
      <c r="F62" s="201">
        <f>$L29*KTDB_TripDistribution_2040!O$12</f>
        <v>0.18936832457442515</v>
      </c>
      <c r="G62" s="201">
        <f>$L29*KTDB_TripDistribution_2040!P$12</f>
        <v>0.53654358629420884</v>
      </c>
      <c r="H62" s="201">
        <f>$K29*KTDB_TripDistribution_2040!Q$12</f>
        <v>1848.5346810269752</v>
      </c>
      <c r="J62" s="230">
        <f t="shared" ref="J62:J66" si="12">CR62</f>
        <v>1848.5346810269755</v>
      </c>
      <c r="K62" s="206" t="s">
        <v>605</v>
      </c>
      <c r="L62" s="206" t="s">
        <v>606</v>
      </c>
      <c r="M62" s="206">
        <f>INDEX($A$61:$H$74,MATCH($L62,$B$61:$B$74,0),MATCH($M$60,$A$61:$H$61,0))*고양시_Modal_split!C$3 * 0.01</f>
        <v>0.56725912854018024</v>
      </c>
      <c r="N62" s="206">
        <f>INDEX($A$61:$H$74,MATCH($L62,$B$61:$B$74,0),MATCH($M$60,$A$61:$H$61,0))*고양시_Modal_split!D$3 * 0.01</f>
        <v>95.279274340159574</v>
      </c>
      <c r="O62" s="206">
        <f>INDEX($A$61:$H$74,MATCH($L62,$B$61:$B$74,0),MATCH($M$60,$A$61:$H$61,0))*고양시_Modal_split!E$3 * 0.01</f>
        <v>11.52751586212009</v>
      </c>
      <c r="P62" s="206">
        <f>INDEX($A$61:$H$74,MATCH($L62,$B$61:$B$74,0),MATCH($M$60,$A$61:$H$61,0))*고양시_Modal_split!F$3 * 0.01</f>
        <v>18.577736459690904</v>
      </c>
      <c r="Q62" s="206">
        <f>INDEX($A$61:$H$74,MATCH($L62,$B$61:$B$74,0),MATCH($M$60,$A$61:$H$61,0))*고양시_Modal_split!G$3 * 0.01</f>
        <v>1.8638514223463065</v>
      </c>
      <c r="R62" s="206">
        <f>INDEX($A$61:$H$74,MATCH($L62,$B$61:$B$74,0),MATCH($M$60,$A$61:$H$61,0))*고양시_Modal_split!H$3 * 0.01</f>
        <v>2.0259254590720723E-2</v>
      </c>
      <c r="S62" s="206">
        <f>INDEX($A$61:$H$74,MATCH($L62,$B$61:$B$74,0),MATCH($M$60,$A$61:$H$61,0))*고양시_Modal_split!I$3 * 0.01</f>
        <v>5.6320727762203608</v>
      </c>
      <c r="T62" s="206">
        <f>INDEX($A$61:$H$74,MATCH($L62,$B$61:$B$74,0),MATCH($M$60,$A$61:$H$61,0))*고양시_Modal_split!J$3 * 0.01</f>
        <v>61.669170974153886</v>
      </c>
      <c r="U62" s="206">
        <f>INDEX($A$61:$H$74,MATCH($L62,$B$61:$B$74,0),MATCH($M$60,$A$61:$H$61,0))*고양시_Modal_split!K$3 * 0.01</f>
        <v>0.30388881886081082</v>
      </c>
      <c r="V62" s="206">
        <f>INDEX($A$61:$H$74,MATCH($L62,$B$61:$B$74,0),MATCH($M$60,$A$61:$H$61,0))*고양시_Modal_split!L$3 * 0.01</f>
        <v>6.1182948863976581</v>
      </c>
      <c r="W62" s="206">
        <f>INDEX($A$61:$H$74,MATCH($L62,$B$61:$B$74,0),MATCH($M$60,$A$61:$H$61,0))*고양시_Modal_split!M$3 * 0.01</f>
        <v>0.46596285558657663</v>
      </c>
      <c r="X62" s="206">
        <f>INDEX($A$61:$H$74,MATCH($L62,$B$61:$B$74,0),MATCH($M$60,$A$61:$H$61,0))*고양시_Modal_split!N$3 * 0.01</f>
        <v>0.20259254590720727</v>
      </c>
      <c r="Y62" s="206">
        <f>INDEX($A$61:$H$74,MATCH($L62,$B$61:$B$74,0),MATCH($M$60,$A$61:$H$61,0))*고양시_Modal_split!O$3 * 0.01</f>
        <v>0.36466658263297308</v>
      </c>
      <c r="Z62" s="209">
        <f>INDEX($A$61:$H$74,MATCH($L62,$B$61:$B$74,0),MATCH($M$60,$A$61:$H$61,0))*고양시_Modal_split!P$3 * 0.01</f>
        <v>202.59254590720724</v>
      </c>
      <c r="AA62" s="207">
        <f>INDEX($A$61:$H$74,MATCH($L62,$B$61:$B$74,0),MATCH($AA$60,$A$61:$H$61,0))*고양시_Modal_split!C$3 * 0.01</f>
        <v>4.4110826298618226</v>
      </c>
      <c r="AB62" s="207">
        <f>INDEX($A$61:$H$74,MATCH($L62,$B$61:$B$74,0),MATCH($AA$60,$A$61:$H$61,0))*고양시_Modal_split!D$3 * 0.01</f>
        <v>740.9043431514342</v>
      </c>
      <c r="AC62" s="207">
        <f>INDEX($A$61:$H$74,MATCH($L62,$B$61:$B$74,0),MATCH($AA$60,$A$61:$H$61,0))*고양시_Modal_split!E$3 * 0.01</f>
        <v>89.639500585406338</v>
      </c>
      <c r="AD62" s="207">
        <f>INDEX($A$61:$H$74,MATCH($L62,$B$61:$B$74,0),MATCH($AA$60,$A$61:$H$61,0))*고양시_Modal_split!F$3 * 0.01</f>
        <v>144.46295612797473</v>
      </c>
      <c r="AE62" s="207">
        <f>INDEX($A$61:$H$74,MATCH($L62,$B$61:$B$74,0),MATCH($AA$60,$A$61:$H$61,0))*고양시_Modal_split!G$3 * 0.01</f>
        <v>14.493557212403132</v>
      </c>
      <c r="AF62" s="207">
        <f>INDEX($A$61:$H$74,MATCH($L62,$B$61:$B$74,0),MATCH($AA$60,$A$61:$H$61,0))*고양시_Modal_split!H$3 * 0.01</f>
        <v>0.15753866535220798</v>
      </c>
      <c r="AG62" s="207">
        <f>INDEX($A$61:$H$74,MATCH($L62,$B$61:$B$74,0),MATCH($AA$60,$A$61:$H$61,0))*고양시_Modal_split!I$3 * 0.01</f>
        <v>43.795748967913816</v>
      </c>
      <c r="AH62" s="207">
        <f>INDEX($A$61:$H$74,MATCH($L62,$B$61:$B$74,0),MATCH($AA$60,$A$61:$H$61,0))*고양시_Modal_split!J$3 * 0.01</f>
        <v>479.54769733212112</v>
      </c>
      <c r="AI62" s="207">
        <f>INDEX($A$61:$H$74,MATCH($L62,$B$61:$B$74,0),MATCH($AA$60,$A$61:$H$61,0))*고양시_Modal_split!K$3 * 0.01</f>
        <v>2.3630799802831195</v>
      </c>
      <c r="AJ62" s="207">
        <f>INDEX($A$61:$H$74,MATCH($L62,$B$61:$B$74,0),MATCH($AA$60,$A$61:$H$61,0))*고양시_Modal_split!L$3 * 0.01</f>
        <v>47.576676936366816</v>
      </c>
      <c r="AK62" s="207">
        <f>INDEX($A$61:$H$74,MATCH($L62,$B$61:$B$74,0),MATCH($AA$60,$A$61:$H$61,0))*고양시_Modal_split!M$3 * 0.01</f>
        <v>3.6233893031007831</v>
      </c>
      <c r="AL62" s="207">
        <f>INDEX($A$61:$H$74,MATCH($L62,$B$61:$B$74,0),MATCH($AA$60,$A$61:$H$61,0))*고양시_Modal_split!N$3 * 0.01</f>
        <v>1.57538665352208</v>
      </c>
      <c r="AM62" s="207">
        <f>INDEX($A$61:$H$74,MATCH($L62,$B$61:$B$74,0),MATCH($AA$60,$A$61:$H$61,0))*고양시_Modal_split!O$3 * 0.01</f>
        <v>2.8356959763397436</v>
      </c>
      <c r="AN62" s="207">
        <f>INDEX($A$61:$H$74,MATCH($L62,$B$61:$B$74,0),MATCH($AA$60,$A$61:$H$61,0))*고양시_Modal_split!P$3 * 0.01</f>
        <v>1575.38665352208</v>
      </c>
      <c r="AO62" s="303">
        <f>INDEX($A$61:$H$74,MATCH($L62,$B$61:$B$74,0),MATCH($AO$60,$A$61:$H$61,0))*고양시_Modal_split!C$3 * 0.01</f>
        <v>0.19552279512309492</v>
      </c>
      <c r="AP62" s="303">
        <f>INDEX($A$61:$H$74,MATCH($L62,$B$61:$B$74,0),MATCH($AO$60,$A$61:$H$61,0))*고양시_Modal_split!D$3 * 0.01</f>
        <v>32.840846623711272</v>
      </c>
      <c r="AQ62" s="303">
        <f>INDEX($A$61:$H$74,MATCH($L62,$B$61:$B$74,0),MATCH($AO$60,$A$61:$H$61,0))*고양시_Modal_split!E$3 * 0.01</f>
        <v>3.9733025151800367</v>
      </c>
      <c r="AR62" s="303">
        <f>INDEX($A$61:$H$74,MATCH($L62,$B$61:$B$74,0),MATCH($AO$60,$A$61:$H$61,0))*고양시_Modal_split!F$3 * 0.01</f>
        <v>6.40337154028136</v>
      </c>
      <c r="AS62" s="303">
        <f>INDEX($A$61:$H$74,MATCH($L62,$B$61:$B$74,0),MATCH($AO$60,$A$61:$H$61,0))*고양시_Modal_split!G$3 * 0.01</f>
        <v>0.64243204111874053</v>
      </c>
      <c r="AT62" s="303">
        <f>INDEX($A$61:$H$74,MATCH($L62,$B$61:$B$74,0),MATCH($AO$60,$A$61:$H$61,0))*고양시_Modal_split!H$3 * 0.01</f>
        <v>6.982956968681963E-3</v>
      </c>
      <c r="AU62" s="303">
        <f>INDEX($A$61:$H$74,MATCH($L62,$B$61:$B$74,0),MATCH($AO$60,$A$61:$H$61,0))*고양시_Modal_split!I$3 * 0.01</f>
        <v>1.9412620372935854</v>
      </c>
      <c r="AV62" s="303">
        <f>INDEX($A$61:$H$74,MATCH($L62,$B$61:$B$74,0),MATCH($AO$60,$A$61:$H$61,0))*고양시_Modal_split!J$3 * 0.01</f>
        <v>21.256121012667897</v>
      </c>
      <c r="AW62" s="303">
        <f>INDEX($A$61:$H$74,MATCH($L62,$B$61:$B$74,0),MATCH($AO$60,$A$61:$H$61,0))*고양시_Modal_split!K$3 * 0.01</f>
        <v>0.10474435453022944</v>
      </c>
      <c r="AX62" s="303">
        <f>INDEX($A$61:$H$74,MATCH($L62,$B$61:$B$74,0),MATCH($AO$60,$A$61:$H$61,0))*고양시_Modal_split!L$3 * 0.01</f>
        <v>2.1088530045419525</v>
      </c>
      <c r="AY62" s="303">
        <f>INDEX($A$61:$H$74,MATCH($L62,$B$61:$B$74,0),MATCH($AO$60,$A$61:$H$61,0))*고양시_Modal_split!M$3 * 0.01</f>
        <v>0.16060801027968513</v>
      </c>
      <c r="AZ62" s="303">
        <f>INDEX($A$61:$H$74,MATCH($L62,$B$61:$B$74,0),MATCH($AO$60,$A$61:$H$61,0))*고양시_Modal_split!N$3 * 0.01</f>
        <v>6.9829569686819623E-2</v>
      </c>
      <c r="BA62" s="207">
        <f>INDEX($A$61:$H$74,MATCH($L62,$B$61:$B$74,0),MATCH($AO$60,$A$61:$H$61,0))*고양시_Modal_split!O$3 * 0.01</f>
        <v>0.12569322543627531</v>
      </c>
      <c r="BB62" s="207">
        <f>INDEX($A$61:$H$74,MATCH($L62,$B$61:$B$74,0),MATCH($AO$60,$A$61:$H$61,0))*고양시_Modal_split!P$3 * 0.01</f>
        <v>69.829569686819625</v>
      </c>
      <c r="BC62" s="207">
        <f>INDEX($A$61:$H$74,MATCH($L62,$B$61:$B$74,0),MATCH($BC$60,$A$61:$H$61,0))*고양시_Modal_split!C$3 * 0.01</f>
        <v>5.3023130880839036E-4</v>
      </c>
      <c r="BD62" s="207">
        <f>INDEX($A$61:$H$74,MATCH($L62,$B$61:$B$74,0),MATCH($BC$60,$A$61:$H$61,0))*고양시_Modal_split!D$3 * 0.01</f>
        <v>8.9059923047352149E-2</v>
      </c>
      <c r="BE62" s="207">
        <f>INDEX($A$61:$H$74,MATCH($L62,$B$61:$B$74,0),MATCH($BC$60,$A$61:$H$61,0))*고양시_Modal_split!E$3 * 0.01</f>
        <v>1.0775057668284791E-2</v>
      </c>
      <c r="BF62" s="207">
        <f>INDEX($A$61:$H$74,MATCH($L62,$B$61:$B$74,0),MATCH($BC$60,$A$61:$H$61,0))*고양시_Modal_split!F$3 * 0.01</f>
        <v>1.7365075363474786E-2</v>
      </c>
      <c r="BG62" s="207">
        <f>INDEX($A$61:$H$74,MATCH($L62,$B$61:$B$74,0),MATCH($BC$60,$A$61:$H$61,0))*고양시_Modal_split!G$3 * 0.01</f>
        <v>1.7421885860847113E-3</v>
      </c>
      <c r="BH62" s="207">
        <f>INDEX($A$61:$H$74,MATCH($L62,$B$61:$B$74,0),MATCH($BC$60,$A$61:$H$61,0))*고양시_Modal_split!H$3 * 0.01</f>
        <v>1.8936832457442517E-5</v>
      </c>
      <c r="BI62" s="207">
        <f>INDEX($A$61:$H$74,MATCH($L62,$B$61:$B$74,0),MATCH($BC$60,$A$61:$H$61,0))*고양시_Modal_split!I$3 * 0.01</f>
        <v>5.2644394231690182E-3</v>
      </c>
      <c r="BJ62" s="207">
        <f>INDEX($A$61:$H$74,MATCH($L62,$B$61:$B$74,0),MATCH($BC$60,$A$61:$H$61,0))*고양시_Modal_split!J$3 * 0.01</f>
        <v>5.7643718000455015E-2</v>
      </c>
      <c r="BK62" s="207">
        <f>INDEX($A$61:$H$74,MATCH($L62,$B$61:$B$74,0),MATCH($BC$60,$A$61:$H$61,0))*고양시_Modal_split!K$3 * 0.01</f>
        <v>2.8405248686163773E-4</v>
      </c>
      <c r="BL62" s="207">
        <f>INDEX($A$61:$H$74,MATCH($L62,$B$61:$B$74,0),MATCH($BC$60,$A$61:$H$61,0))*고양시_Modal_split!L$3 * 0.01</f>
        <v>5.7189234021476397E-3</v>
      </c>
      <c r="BM62" s="207">
        <f>INDEX($A$61:$H$74,MATCH($L62,$B$61:$B$74,0),MATCH($BC$60,$A$61:$H$61,0))*고양시_Modal_split!M$3 * 0.01</f>
        <v>4.3554714652117784E-4</v>
      </c>
      <c r="BN62" s="207">
        <f>INDEX($A$61:$H$74,MATCH($L62,$B$61:$B$74,0),MATCH($BC$60,$A$61:$H$61,0))*고양시_Modal_split!N$3 * 0.01</f>
        <v>1.8936832457442515E-4</v>
      </c>
      <c r="BO62" s="207">
        <f>INDEX($A$61:$H$74,MATCH($L62,$B$61:$B$74,0),MATCH($BC$60,$A$61:$H$61,0))*고양시_Modal_split!O$3 * 0.01</f>
        <v>3.4086298423396526E-4</v>
      </c>
      <c r="BP62" s="207">
        <f>INDEX($A$61:$H$74,MATCH($L62,$B$61:$B$74,0),MATCH($BC$60,$A$61:$H$61,0))*고양시_Modal_split!P$3 * 0.01</f>
        <v>0.18936832457442518</v>
      </c>
      <c r="BQ62" s="207">
        <f>INDEX($A$61:$H$74,MATCH($L62,$B$61:$B$74,0),MATCH($BQ$60,$A$61:$H$61,0))*고양시_Modal_split!C$3 * 0.01</f>
        <v>1.5023220416237847E-3</v>
      </c>
      <c r="BR62" s="207">
        <f>INDEX($A$61:$H$74,MATCH($L62,$B$61:$B$74,0),MATCH($BQ$60,$A$61:$H$61,0))*고양시_Modal_split!D$3 * 0.01</f>
        <v>0.25233644863416643</v>
      </c>
      <c r="BS62" s="207">
        <f>INDEX($A$61:$H$74,MATCH($L62,$B$61:$B$74,0),MATCH($BQ$60,$A$61:$H$61,0))*고양시_Modal_split!E$3 * 0.01</f>
        <v>3.052933006014048E-2</v>
      </c>
      <c r="BT62" s="207">
        <f>INDEX($A$61:$H$74,MATCH($L62,$B$61:$B$74,0),MATCH($BQ$60,$A$61:$H$61,0))*고양시_Modal_split!F$3 * 0.01</f>
        <v>4.920104686317895E-2</v>
      </c>
      <c r="BU62" s="207">
        <f>INDEX($A$61:$H$74,MATCH($L62,$B$61:$B$74,0),MATCH($BQ$60,$A$61:$H$61,0))*고양시_Modal_split!G$3 * 0.01</f>
        <v>4.9362009939067208E-3</v>
      </c>
      <c r="BV62" s="207">
        <f>INDEX($A$61:$H$74,MATCH($L62,$B$61:$B$74,0),MATCH($BQ$60,$A$61:$H$61,0))*고양시_Modal_split!H$3 * 0.01</f>
        <v>5.3654358629420884E-5</v>
      </c>
      <c r="BW62" s="207">
        <f>INDEX($A$61:$H$74,MATCH($L62,$B$61:$B$74,0),MATCH($BQ$60,$A$61:$H$61,0))*고양시_Modal_split!I$3 * 0.01</f>
        <v>1.4915911698979005E-2</v>
      </c>
      <c r="BX62" s="207">
        <f>INDEX($A$61:$H$74,MATCH($L62,$B$61:$B$74,0),MATCH($BQ$60,$A$61:$H$61,0))*고양시_Modal_split!J$3 * 0.01</f>
        <v>0.16332386766795717</v>
      </c>
      <c r="BY62" s="207">
        <f>INDEX($A$61:$H$74,MATCH($L62,$B$61:$B$74,0),MATCH($BQ$60,$A$61:$H$61,0))*고양시_Modal_split!K$3 * 0.01</f>
        <v>8.0481537944131318E-4</v>
      </c>
      <c r="BZ62" s="207">
        <f>INDEX($A$61:$H$74,MATCH($L62,$B$61:$B$74,0),MATCH($BQ$60,$A$61:$H$61,0))*고양시_Modal_split!L$3 * 0.01</f>
        <v>1.6203616306085106E-2</v>
      </c>
      <c r="CA62" s="207">
        <f>INDEX($A$61:$H$74,MATCH($L62,$B$61:$B$74,0),MATCH($BQ$60,$A$61:$H$61,0))*고양시_Modal_split!M$3 * 0.01</f>
        <v>1.2340502484766802E-3</v>
      </c>
      <c r="CB62" s="207">
        <f>INDEX($A$61:$H$74,MATCH($L62,$B$61:$B$74,0),MATCH($BQ$60,$A$61:$H$61,0))*고양시_Modal_split!N$3 * 0.01</f>
        <v>5.3654358629420893E-4</v>
      </c>
      <c r="CC62" s="207">
        <f>INDEX($A$61:$H$74,MATCH($L62,$B$61:$B$74,0),MATCH($BQ$60,$A$61:$H$61,0))*고양시_Modal_split!O$3 * 0.01</f>
        <v>9.6577845532957595E-4</v>
      </c>
      <c r="CD62" s="207">
        <f>INDEX($A$61:$H$74,MATCH($L62,$B$61:$B$74,0),MATCH($BQ$60,$A$61:$H$61,0))*고양시_Modal_split!P$3 * 0.01</f>
        <v>0.53654358629420884</v>
      </c>
      <c r="CE62" s="304">
        <f>M62+AA62+AO62+BC62+BQ62</f>
        <v>5.1758971068755297</v>
      </c>
      <c r="CF62" s="304">
        <f t="shared" ref="CF62:CF74" si="13">N62+AB62+AP62+BD62+BR62</f>
        <v>869.36586048698655</v>
      </c>
      <c r="CG62" s="304">
        <f t="shared" ref="CG62:CG74" si="14">O62+AC62+AQ62+BE62+BS62</f>
        <v>105.18162335043489</v>
      </c>
      <c r="CH62" s="304">
        <f t="shared" ref="CH62:CH74" si="15">P62+AD62+AR62+BF62+BT62</f>
        <v>169.51063025017365</v>
      </c>
      <c r="CI62" s="304">
        <f t="shared" ref="CI62:CI74" si="16">Q62+AE62+AS62+BG62+BU62</f>
        <v>17.006519065448174</v>
      </c>
      <c r="CJ62" s="304">
        <f t="shared" ref="CJ62:CJ74" si="17">R62+AF62+AT62+BH62+BV62</f>
        <v>0.18485346810269751</v>
      </c>
      <c r="CK62" s="304">
        <f t="shared" ref="CK62:CK74" si="18">S62+AG62+AU62+BI62+BW62</f>
        <v>51.389264132549911</v>
      </c>
      <c r="CL62" s="304">
        <f t="shared" ref="CL62:CL74" si="19">T62+AH62+AV62+BJ62+BX62</f>
        <v>562.69395690461135</v>
      </c>
      <c r="CM62" s="304">
        <f t="shared" ref="CM62:CM74" si="20">U62+AI62+AW62+BK62+BY62</f>
        <v>2.7728020215404627</v>
      </c>
      <c r="CN62" s="304">
        <f t="shared" ref="CN62:CN74" si="21">V62+AJ62+AX62+BL62+BZ62</f>
        <v>55.825747367014664</v>
      </c>
      <c r="CO62" s="304">
        <f t="shared" ref="CO62:CO74" si="22">W62+AK62+AY62+BM62+CA62</f>
        <v>4.2516297663620435</v>
      </c>
      <c r="CP62" s="304">
        <f t="shared" ref="CP62:CP74" si="23">X62+AL62+AZ62+BN62+CB62</f>
        <v>1.8485346810269756</v>
      </c>
      <c r="CQ62" s="304">
        <f t="shared" ref="CQ62:CQ74" si="24">Y62+AM62+BA62+BO62+CC62</f>
        <v>3.3273624258485555</v>
      </c>
      <c r="CR62" s="304">
        <f t="shared" ref="CR62:CR74" si="25">Z62+AN62+BB62+BP62+CD62</f>
        <v>1848.5346810269755</v>
      </c>
      <c r="CS62" s="305">
        <f>H62-CR62</f>
        <v>0</v>
      </c>
      <c r="CV62" s="265" t="s">
        <v>605</v>
      </c>
      <c r="CW62" s="265" t="s">
        <v>606</v>
      </c>
      <c r="CX62" s="267">
        <f>INDEX($M$60:$Z$74,MATCH($CW62,$L$60:$L$74,0),MATCH(CX$61,$M$61:$Z$61,0))/INDEX(고양시_재차인원!$D$4:$H$35,MATCH("고양시",고양시_재차인원!$B$4:$B$35,0),MATCH($CX$60,고양시_재차인원!$D$4:$H$4,0))</f>
        <v>85.070780660856755</v>
      </c>
      <c r="CY62" s="267">
        <f>INDEX($M$60:$Z$74,MATCH($CW62,$L$60:$L$74,0),MATCH(CY$61,$M$61:$Z$61,0))/INDEX(고양시_재차인원!$K$4:$O$20,MATCH("경기도",고양시_재차인원!$K$4:$K$20,0),MATCH($CY$61,고양시_재차인원!$K$4:$O$4,0))</f>
        <v>7.0369067699620441E-4</v>
      </c>
      <c r="CZ62" s="267">
        <f>INDEX($M$60:$Z$74,MATCH($CW62,$L$60:$L$74,0),MATCH(CZ$61,$M$61:$Z$61,0))/INDEX(고양시_재차인원!$K$4:$O$20,MATCH("경기도",고양시_재차인원!$K$4:$K$20,0),MATCH($CZ$61,고양시_재차인원!$K$4:$O$4,0))</f>
        <v>0.1956260082049448</v>
      </c>
      <c r="DA62" s="267">
        <f>INDEX($M$60:$Z$74,MATCH($CW62,$L$60:$L$74,0),MATCH(DA$61,$M$61:$Z$61,0))/INDEX(고양시_재차인원!$D$4:$H$35,MATCH("고양시",고양시_재차인원!$B$4:$B$35,0),MATCH($CX$60,고양시_재차인원!$D$4:$H$4,0))</f>
        <v>5.4627632914264801</v>
      </c>
      <c r="DB62" s="267">
        <f>INDEX($AA$60:$AN$74,MATCH($CW62,$L$60:$L$74,0),MATCH(DB$61,$AA$61:$AN$61,0))/INDEX(고양시_재차인원!$D$4:$H$35,MATCH("고양시",고양시_재차인원!$B$4:$B$35,0),MATCH($DB$60,고양시_재차인원!$D$4:$H$4,0))</f>
        <v>525.46407315704562</v>
      </c>
      <c r="DC62" s="267">
        <f>INDEX($AA$60:$AN$74,MATCH($CW62,$L$60:$L$74,0),MATCH(DC$61,$AA$61:$AN$61,0))/INDEX(고양시_재차인원!$K$4:$O$20,MATCH("경기도",고양시_재차인원!$K$4:$K$20,0),MATCH($DC$61,고양시_재차인원!$K$4:$O$4,0))</f>
        <v>5.471992544362903E-3</v>
      </c>
      <c r="DD62" s="267">
        <f>INDEX($AA$60:$AN$74,MATCH($CW62,$L$60:$L$74,0),MATCH(DD$61,$AA$61:$AN$61,0))/INDEX(고양시_재차인원!$K$4:$O$20,MATCH("경기도",고양시_재차인원!$K$4:$K$20,0),MATCH($DD$61,고양시_재차인원!$K$4:$O$4,0))</f>
        <v>1.5212139273328871</v>
      </c>
      <c r="DE62" s="267">
        <f>INDEX($AA$60:$AN$74,MATCH($CW62,$L$60:$L$74,0),MATCH(DE$61,$AA$61:$AN$61,0))/INDEX(고양시_재차인원!$D$4:$H$35,MATCH("고양시",고양시_재차인원!$B$4:$B$35,0),MATCH($DB$60,고양시_재차인원!$D$4:$H$4,0))</f>
        <v>33.742324068345262</v>
      </c>
      <c r="DF62" s="267">
        <f>INDEX($AO$60:$BB$74,MATCH($CW62,$L$60:$L$74,0),MATCH(DF$61,$AO$61:$BB$61,0))/INDEX(고양시_재차인원!$D$4:$H$35,MATCH("고양시",고양시_재차인원!$B$4:$B$35,0),MATCH($DF$60,고양시_재차인원!$D$4:$H$4,0))</f>
        <v>25.26218971054713</v>
      </c>
      <c r="DG62" s="267">
        <f>INDEX($AO$60:$BB$74,MATCH($CW62,$L$60:$L$74,0),MATCH(DG$61,$AO$61:$BB$61,0))/INDEX(고양시_재차인원!$K$4:$O$20,MATCH("경기도",고양시_재차인원!$K$4:$K$20,0),MATCH($DG$61,고양시_재차인원!$K$4:$O$4,0))</f>
        <v>2.4254800169093307E-4</v>
      </c>
      <c r="DH62" s="267">
        <f>INDEX($AO$60:$BB$74,MATCH($CW62,$L$60:$L$74,0),MATCH(DH$61,$AO$61:$BB$61,0))/INDEX(고양시_재차인원!$K$4:$O$20,MATCH("경기도",고양시_재차인원!$K$4:$K$20,0),MATCH($DH$61,고양시_재차인원!$K$4:$O$4,0))</f>
        <v>6.7428344470079379E-2</v>
      </c>
      <c r="DI62" s="267">
        <f>INDEX($AO$60:$BB$74,MATCH($CW62,$L$60:$L$74,0),MATCH(DI$61,$AO$61:$BB$61,0))/INDEX(고양시_재차인원!$D$4:$H$35,MATCH("고양시",고양시_재차인원!$B$4:$B$35,0),MATCH($DF$60,고양시_재차인원!$D$4:$H$4,0))</f>
        <v>1.6221946188784249</v>
      </c>
      <c r="DJ62" s="267">
        <f>INDEX($BC$60:$BP$74,MATCH($CW62,$L$60:$L$74,0),MATCH(DJ$61,$BC$61:$BP$61,0))/INDEX(고양시_재차인원!$D$4:$H$35,MATCH("고양시",고양시_재차인원!$B$4:$B$35,0),MATCH($DJ$60,고양시_재차인원!$D$4:$H$4,0))</f>
        <v>6.5485237534817747E-2</v>
      </c>
      <c r="DK62" s="267">
        <f>INDEX($BC$60:$BP$74,MATCH($CW62,$L$60:$L$74,0),MATCH(DK$61,$BC$61:$BP$61,0))/INDEX(고양시_재차인원!$K$4:$O$20,MATCH("경기도",고양시_재차인원!$K$4:$K$20,0),MATCH($DK$61,고양시_재차인원!$K$4:$O$4,0))</f>
        <v>6.5775729272117111E-7</v>
      </c>
      <c r="DL62" s="267">
        <f>INDEX($BC$60:$BP$74,MATCH($CW62,$L$60:$L$74,0),MATCH(DL$61,$BC$61:$BP$61,0))/INDEX(고양시_재차인원!$K$4:$O$20,MATCH("경기도",고양시_재차인원!$K$4:$K$20,0),MATCH($DL$61,고양시_재차인원!$K$4:$O$4,0))</f>
        <v>1.8285652737648554E-4</v>
      </c>
      <c r="DM62" s="267">
        <f>INDEX($BC$60:$BP$74,MATCH($CW62,$L$60:$L$74,0),MATCH(DM$61,$BC$61:$BP$61,0))/INDEX(고양시_재차인원!$D$4:$H$35,MATCH("고양시",고양시_재차인원!$B$4:$B$35,0),MATCH($DJ$60,고양시_재차인원!$D$4:$H$4,0))</f>
        <v>4.2050907368732645E-3</v>
      </c>
      <c r="DN62" s="267">
        <f>INDEX($BQ$60:$CD$74,MATCH($CW62,$L$60:$L$74,0),MATCH(DN$61,$BQ$61:$CD$61,0))/INDEX(고양시_재차인원!$D$4:$H$35,MATCH("고양시",고양시_재차인원!$B$4:$B$35,0),MATCH($DN$60,고양시_재차인원!$D$4:$H$4,0))</f>
        <v>0.2002670227255289</v>
      </c>
      <c r="DO62" s="267">
        <f>INDEX($BQ$60:$CD$74,MATCH($CW62,$L$60:$L$74,0),MATCH(DO$61,$BQ$61:$CD$61,0))/INDEX(고양시_재차인원!$K$4:$O$20,MATCH("경기도",고양시_재차인원!$K$4:$K$20,0),MATCH($DO$61,고양시_재차인원!$K$4:$O$4,0))</f>
        <v>1.8636456627099994E-6</v>
      </c>
      <c r="DP62" s="267">
        <f>INDEX($BQ$60:$CD$74,MATCH($CW62,$L$60:$L$74,0),MATCH(DP$61,$BQ$61:$CD$61,0))/INDEX(고양시_재차인원!$K$4:$O$20,MATCH("경기도",고양시_재차인원!$K$4:$K$20,0),MATCH($DP$61,고양시_재차인원!$K$4:$O$4,0))</f>
        <v>5.1809349423337988E-4</v>
      </c>
      <c r="DQ62" s="267">
        <f>INDEX($BQ$60:$CD$74,MATCH($CW62,$L$60:$L$74,0),MATCH(DQ$61,$BQ$61:$CD$61,0))/INDEX(고양시_재차인원!$D$4:$H$35,MATCH("고양시",고양시_재차인원!$B$4:$B$35,0),MATCH($DN$60,고양시_재차인원!$D$4:$H$4,0))</f>
        <v>1.2860012941337385E-2</v>
      </c>
      <c r="DR62" s="270">
        <f>CX62+DB62+DF62+DJ62+DN62</f>
        <v>636.06279578870976</v>
      </c>
      <c r="DS62" s="270">
        <f t="shared" ref="DS62:DS74" si="26">CY62+DC62+DG62+DK62+DO62</f>
        <v>6.4207526260054723E-3</v>
      </c>
      <c r="DT62" s="270">
        <f t="shared" ref="DT62:DT74" si="27">CZ62+DD62+DH62+DL62+DP62</f>
        <v>1.7849692300295212</v>
      </c>
      <c r="DU62" s="270">
        <f t="shared" ref="DU62:DU74" si="28">DA62+DE62+DI62+DM62+DQ62</f>
        <v>40.844347082328376</v>
      </c>
      <c r="DW62" s="278" t="s">
        <v>605</v>
      </c>
      <c r="DX62" s="278" t="s">
        <v>606</v>
      </c>
      <c r="DY62" s="281">
        <f>DR62+DU62</f>
        <v>676.9071428710381</v>
      </c>
      <c r="DZ62" s="281">
        <f>DS62+DT62</f>
        <v>1.7913899826555266</v>
      </c>
      <c r="EB62" s="278" t="s">
        <v>623</v>
      </c>
      <c r="EC62" s="278" t="s">
        <v>606</v>
      </c>
      <c r="ED62" s="309">
        <f>DY62+DY$68*($EN64/SUM($EN$64:$EN$67))</f>
        <v>794.94609034549933</v>
      </c>
      <c r="EE62" s="309">
        <f t="shared" ref="EE62:EE65" si="29">DZ62+DZ$68*($EN64/SUM($EN$64:$EN$67))</f>
        <v>2.1037722499959042</v>
      </c>
      <c r="EF62" t="b">
        <f>SUM(ED62:EE65)=SUM(DY62:DZ65,DY68:DZ68)</f>
        <v>1</v>
      </c>
      <c r="EK62" s="420" t="s">
        <v>12</v>
      </c>
      <c r="EL62" s="420" t="s">
        <v>12</v>
      </c>
      <c r="EM62" s="420" t="s">
        <v>567</v>
      </c>
      <c r="EN62" s="420">
        <v>14267.0414</v>
      </c>
      <c r="EO62" s="420">
        <v>0.4735987268619668</v>
      </c>
      <c r="EP62" s="421">
        <v>849001</v>
      </c>
      <c r="EQ62" s="422">
        <f>VLOOKUP($EL62,$EC$62:$EE$73,2,FALSE)*$EO62 * $CW$9*(1-$DA$5)</f>
        <v>32.076424443856965</v>
      </c>
      <c r="ER62" s="422">
        <f>VLOOKUP($EL62,$EC$62:$EE$73,3,FALSE)*$EO62*$CW$9*(1-$DA$5)</f>
        <v>8.4888135741063617E-2</v>
      </c>
      <c r="ES62">
        <v>0</v>
      </c>
      <c r="EU62" s="306" t="s">
        <v>12</v>
      </c>
      <c r="EV62" s="306" t="s">
        <v>12</v>
      </c>
      <c r="EW62" s="306" t="s">
        <v>567</v>
      </c>
      <c r="EX62" s="306">
        <v>14267.0414</v>
      </c>
      <c r="EY62" s="306">
        <v>0.4735987268619668</v>
      </c>
      <c r="EZ62" s="307">
        <v>849001</v>
      </c>
      <c r="FA62" s="308">
        <f>EQ62*$EG$55</f>
        <v>32.076424443856965</v>
      </c>
      <c r="FB62" s="308">
        <f t="shared" ref="FB62:FB81" si="30">ER62*$EG$55</f>
        <v>8.4888135741063617E-2</v>
      </c>
      <c r="FD62" s="101"/>
      <c r="FE62" s="101"/>
      <c r="FF62" s="101"/>
      <c r="FG62" s="101"/>
      <c r="FH62" s="101"/>
      <c r="FI62" s="374"/>
      <c r="FJ62" s="404"/>
      <c r="FK62" s="404"/>
    </row>
    <row r="63" spans="1:167">
      <c r="A63" s="205" t="s">
        <v>605</v>
      </c>
      <c r="B63" s="205" t="s">
        <v>607</v>
      </c>
      <c r="C63" s="201">
        <f>$L30*KTDB_TripDistribution_2040!L$12</f>
        <v>201.38904568157915</v>
      </c>
      <c r="D63" s="201">
        <f>$L30*KTDB_TripDistribution_2040!M$12</f>
        <v>1566.0280752759004</v>
      </c>
      <c r="E63" s="201">
        <f>$L30*KTDB_TripDistribution_2040!N$12</f>
        <v>69.414747401541206</v>
      </c>
      <c r="F63" s="201">
        <f>$L30*KTDB_TripDistribution_2040!O$12</f>
        <v>0.18824338278383965</v>
      </c>
      <c r="G63" s="201">
        <f>$L30*KTDB_TripDistribution_2040!P$12</f>
        <v>0.53335625122088315</v>
      </c>
      <c r="H63" s="201">
        <f>$K30*KTDB_TripDistribution_2040!Q$12</f>
        <v>1837.5534679930254</v>
      </c>
      <c r="J63" s="230">
        <f t="shared" si="12"/>
        <v>1837.5534679930258</v>
      </c>
      <c r="K63" s="206" t="s">
        <v>605</v>
      </c>
      <c r="L63" s="206" t="s">
        <v>607</v>
      </c>
      <c r="M63" s="206">
        <f>INDEX($A$61:$H$74,MATCH($L63,$B$61:$B$74,0),MATCH($M$60,$A$61:$H$61,0))*고양시_Modal_split!C$3 * 0.01</f>
        <v>0.56388932790842161</v>
      </c>
      <c r="N63" s="206">
        <f>INDEX($A$61:$H$74,MATCH($L63,$B$61:$B$74,0),MATCH($M$60,$A$61:$H$61,0))*고양시_Modal_split!D$3 * 0.01</f>
        <v>94.713268184046683</v>
      </c>
      <c r="O63" s="206">
        <f>INDEX($A$61:$H$74,MATCH($L63,$B$61:$B$74,0),MATCH($M$60,$A$61:$H$61,0))*고양시_Modal_split!E$3 * 0.01</f>
        <v>11.459036699281853</v>
      </c>
      <c r="P63" s="206">
        <f>INDEX($A$61:$H$74,MATCH($L63,$B$61:$B$74,0),MATCH($M$60,$A$61:$H$61,0))*고양시_Modal_split!F$3 * 0.01</f>
        <v>18.467375489000808</v>
      </c>
      <c r="Q63" s="206">
        <f>INDEX($A$61:$H$74,MATCH($L63,$B$61:$B$74,0),MATCH($M$60,$A$61:$H$61,0))*고양시_Modal_split!G$3 * 0.01</f>
        <v>1.852779220270528</v>
      </c>
      <c r="R63" s="206">
        <f>INDEX($A$61:$H$74,MATCH($L63,$B$61:$B$74,0),MATCH($M$60,$A$61:$H$61,0))*고양시_Modal_split!H$3 * 0.01</f>
        <v>2.0138904568157916E-2</v>
      </c>
      <c r="S63" s="206">
        <f>INDEX($A$61:$H$74,MATCH($L63,$B$61:$B$74,0),MATCH($M$60,$A$61:$H$61,0))*고양시_Modal_split!I$3 * 0.01</f>
        <v>5.5986154699479007</v>
      </c>
      <c r="T63" s="206">
        <f>INDEX($A$61:$H$74,MATCH($L63,$B$61:$B$74,0),MATCH($M$60,$A$61:$H$61,0))*고양시_Modal_split!J$3 * 0.01</f>
        <v>61.302825505472697</v>
      </c>
      <c r="U63" s="206">
        <f>INDEX($A$61:$H$74,MATCH($L63,$B$61:$B$74,0),MATCH($M$60,$A$61:$H$61,0))*고양시_Modal_split!K$3 * 0.01</f>
        <v>0.30208356852236873</v>
      </c>
      <c r="V63" s="206">
        <f>INDEX($A$61:$H$74,MATCH($L63,$B$61:$B$74,0),MATCH($M$60,$A$61:$H$61,0))*고양시_Modal_split!L$3 * 0.01</f>
        <v>6.0819491795836909</v>
      </c>
      <c r="W63" s="206">
        <f>INDEX($A$61:$H$74,MATCH($L63,$B$61:$B$74,0),MATCH($M$60,$A$61:$H$61,0))*고양시_Modal_split!M$3 * 0.01</f>
        <v>0.463194805067632</v>
      </c>
      <c r="X63" s="206">
        <f>INDEX($A$61:$H$74,MATCH($L63,$B$61:$B$74,0),MATCH($M$60,$A$61:$H$61,0))*고양시_Modal_split!N$3 * 0.01</f>
        <v>0.20138904568157917</v>
      </c>
      <c r="Y63" s="206">
        <f>INDEX($A$61:$H$74,MATCH($L63,$B$61:$B$74,0),MATCH($M$60,$A$61:$H$61,0))*고양시_Modal_split!O$3 * 0.01</f>
        <v>0.36250028222684244</v>
      </c>
      <c r="Z63" s="209">
        <f>INDEX($A$61:$H$74,MATCH($L63,$B$61:$B$74,0),MATCH($M$60,$A$61:$H$61,0))*고양시_Modal_split!P$3 * 0.01</f>
        <v>201.38904568157915</v>
      </c>
      <c r="AA63" s="207">
        <f>INDEX($A$61:$H$74,MATCH($L63,$B$61:$B$74,0),MATCH($AA$60,$A$61:$H$61,0))*고양시_Modal_split!C$3 * 0.01</f>
        <v>4.3848786107725211</v>
      </c>
      <c r="AB63" s="207">
        <f>INDEX($A$61:$H$74,MATCH($L63,$B$61:$B$74,0),MATCH($AA$60,$A$61:$H$61,0))*고양시_Modal_split!D$3 * 0.01</f>
        <v>736.50300380225599</v>
      </c>
      <c r="AC63" s="207">
        <f>INDEX($A$61:$H$74,MATCH($L63,$B$61:$B$74,0),MATCH($AA$60,$A$61:$H$61,0))*고양시_Modal_split!E$3 * 0.01</f>
        <v>89.106997483198725</v>
      </c>
      <c r="AD63" s="207">
        <f>INDEX($A$61:$H$74,MATCH($L63,$B$61:$B$74,0),MATCH($AA$60,$A$61:$H$61,0))*고양시_Modal_split!F$3 * 0.01</f>
        <v>143.60477450280007</v>
      </c>
      <c r="AE63" s="207">
        <f>INDEX($A$61:$H$74,MATCH($L63,$B$61:$B$74,0),MATCH($AA$60,$A$61:$H$61,0))*고양시_Modal_split!G$3 * 0.01</f>
        <v>14.407458292538283</v>
      </c>
      <c r="AF63" s="207">
        <f>INDEX($A$61:$H$74,MATCH($L63,$B$61:$B$74,0),MATCH($AA$60,$A$61:$H$61,0))*고양시_Modal_split!H$3 * 0.01</f>
        <v>0.15660280752759004</v>
      </c>
      <c r="AG63" s="207">
        <f>INDEX($A$61:$H$74,MATCH($L63,$B$61:$B$74,0),MATCH($AA$60,$A$61:$H$61,0))*고양시_Modal_split!I$3 * 0.01</f>
        <v>43.535580492670022</v>
      </c>
      <c r="AH63" s="207">
        <f>INDEX($A$61:$H$74,MATCH($L63,$B$61:$B$74,0),MATCH($AA$60,$A$61:$H$61,0))*고양시_Modal_split!J$3 * 0.01</f>
        <v>476.69894611398416</v>
      </c>
      <c r="AI63" s="207">
        <f>INDEX($A$61:$H$74,MATCH($L63,$B$61:$B$74,0),MATCH($AA$60,$A$61:$H$61,0))*고양시_Modal_split!K$3 * 0.01</f>
        <v>2.3490421129138506</v>
      </c>
      <c r="AJ63" s="207">
        <f>INDEX($A$61:$H$74,MATCH($L63,$B$61:$B$74,0),MATCH($AA$60,$A$61:$H$61,0))*고양시_Modal_split!L$3 * 0.01</f>
        <v>47.294047873332197</v>
      </c>
      <c r="AK63" s="207">
        <f>INDEX($A$61:$H$74,MATCH($L63,$B$61:$B$74,0),MATCH($AA$60,$A$61:$H$61,0))*고양시_Modal_split!M$3 * 0.01</f>
        <v>3.6018645731345709</v>
      </c>
      <c r="AL63" s="207">
        <f>INDEX($A$61:$H$74,MATCH($L63,$B$61:$B$74,0),MATCH($AA$60,$A$61:$H$61,0))*고양시_Modal_split!N$3 * 0.01</f>
        <v>1.5660280752759004</v>
      </c>
      <c r="AM63" s="207">
        <f>INDEX($A$61:$H$74,MATCH($L63,$B$61:$B$74,0),MATCH($AA$60,$A$61:$H$61,0))*고양시_Modal_split!O$3 * 0.01</f>
        <v>2.8188505354966207</v>
      </c>
      <c r="AN63" s="207">
        <f>INDEX($A$61:$H$74,MATCH($L63,$B$61:$B$74,0),MATCH($AA$60,$A$61:$H$61,0))*고양시_Modal_split!P$3 * 0.01</f>
        <v>1566.0280752759006</v>
      </c>
      <c r="AO63" s="303">
        <f>INDEX($A$61:$H$74,MATCH($L63,$B$61:$B$74,0),MATCH($AO$60,$A$61:$H$61,0))*고양시_Modal_split!C$3 * 0.01</f>
        <v>0.19436129272431538</v>
      </c>
      <c r="AP63" s="303">
        <f>INDEX($A$61:$H$74,MATCH($L63,$B$61:$B$74,0),MATCH($AO$60,$A$61:$H$61,0))*고양시_Modal_split!D$3 * 0.01</f>
        <v>32.645755702944832</v>
      </c>
      <c r="AQ63" s="303">
        <f>INDEX($A$61:$H$74,MATCH($L63,$B$61:$B$74,0),MATCH($AO$60,$A$61:$H$61,0))*고양시_Modal_split!E$3 * 0.01</f>
        <v>3.949699127147694</v>
      </c>
      <c r="AR63" s="303">
        <f>INDEX($A$61:$H$74,MATCH($L63,$B$61:$B$74,0),MATCH($AO$60,$A$61:$H$61,0))*고양시_Modal_split!F$3 * 0.01</f>
        <v>6.3653323367213286</v>
      </c>
      <c r="AS63" s="303">
        <f>INDEX($A$61:$H$74,MATCH($L63,$B$61:$B$74,0),MATCH($AO$60,$A$61:$H$61,0))*고양시_Modal_split!G$3 * 0.01</f>
        <v>0.63861567609417902</v>
      </c>
      <c r="AT63" s="303">
        <f>INDEX($A$61:$H$74,MATCH($L63,$B$61:$B$74,0),MATCH($AO$60,$A$61:$H$61,0))*고양시_Modal_split!H$3 * 0.01</f>
        <v>6.9414747401541216E-3</v>
      </c>
      <c r="AU63" s="303">
        <f>INDEX($A$61:$H$74,MATCH($L63,$B$61:$B$74,0),MATCH($AO$60,$A$61:$H$61,0))*고양시_Modal_split!I$3 * 0.01</f>
        <v>1.9297299777628454</v>
      </c>
      <c r="AV63" s="303">
        <f>INDEX($A$61:$H$74,MATCH($L63,$B$61:$B$74,0),MATCH($AO$60,$A$61:$H$61,0))*고양시_Modal_split!J$3 * 0.01</f>
        <v>21.129849109029141</v>
      </c>
      <c r="AW63" s="303">
        <f>INDEX($A$61:$H$74,MATCH($L63,$B$61:$B$74,0),MATCH($AO$60,$A$61:$H$61,0))*고양시_Modal_split!K$3 * 0.01</f>
        <v>0.10412212110231181</v>
      </c>
      <c r="AX63" s="303">
        <f>INDEX($A$61:$H$74,MATCH($L63,$B$61:$B$74,0),MATCH($AO$60,$A$61:$H$61,0))*고양시_Modal_split!L$3 * 0.01</f>
        <v>2.0963253715265444</v>
      </c>
      <c r="AY63" s="303">
        <f>INDEX($A$61:$H$74,MATCH($L63,$B$61:$B$74,0),MATCH($AO$60,$A$61:$H$61,0))*고양시_Modal_split!M$3 * 0.01</f>
        <v>0.15965391902354475</v>
      </c>
      <c r="AZ63" s="303">
        <f>INDEX($A$61:$H$74,MATCH($L63,$B$61:$B$74,0),MATCH($AO$60,$A$61:$H$61,0))*고양시_Modal_split!N$3 * 0.01</f>
        <v>6.9414747401541202E-2</v>
      </c>
      <c r="BA63" s="207">
        <f>INDEX($A$61:$H$74,MATCH($L63,$B$61:$B$74,0),MATCH($AO$60,$A$61:$H$61,0))*고양시_Modal_split!O$3 * 0.01</f>
        <v>0.12494654532277417</v>
      </c>
      <c r="BB63" s="207">
        <f>INDEX($A$61:$H$74,MATCH($L63,$B$61:$B$74,0),MATCH($AO$60,$A$61:$H$61,0))*고양시_Modal_split!P$3 * 0.01</f>
        <v>69.414747401541206</v>
      </c>
      <c r="BC63" s="207">
        <f>INDEX($A$61:$H$74,MATCH($L63,$B$61:$B$74,0),MATCH($BC$60,$A$61:$H$61,0))*고양시_Modal_split!C$3 * 0.01</f>
        <v>5.2708147179475104E-4</v>
      </c>
      <c r="BD63" s="207">
        <f>INDEX($A$61:$H$74,MATCH($L63,$B$61:$B$74,0),MATCH($BC$60,$A$61:$H$61,0))*고양시_Modal_split!D$3 * 0.01</f>
        <v>8.8530862923239792E-2</v>
      </c>
      <c r="BE63" s="207">
        <f>INDEX($A$61:$H$74,MATCH($L63,$B$61:$B$74,0),MATCH($BC$60,$A$61:$H$61,0))*고양시_Modal_split!E$3 * 0.01</f>
        <v>1.0711048480400475E-2</v>
      </c>
      <c r="BF63" s="207">
        <f>INDEX($A$61:$H$74,MATCH($L63,$B$61:$B$74,0),MATCH($BC$60,$A$61:$H$61,0))*고양시_Modal_split!F$3 * 0.01</f>
        <v>1.7261918201278096E-2</v>
      </c>
      <c r="BG63" s="207">
        <f>INDEX($A$61:$H$74,MATCH($L63,$B$61:$B$74,0),MATCH($BC$60,$A$61:$H$61,0))*고양시_Modal_split!G$3 * 0.01</f>
        <v>1.7318391216113247E-3</v>
      </c>
      <c r="BH63" s="207">
        <f>INDEX($A$61:$H$74,MATCH($L63,$B$61:$B$74,0),MATCH($BC$60,$A$61:$H$61,0))*고양시_Modal_split!H$3 * 0.01</f>
        <v>1.8824338278383967E-5</v>
      </c>
      <c r="BI63" s="207">
        <f>INDEX($A$61:$H$74,MATCH($L63,$B$61:$B$74,0),MATCH($BC$60,$A$61:$H$61,0))*고양시_Modal_split!I$3 * 0.01</f>
        <v>5.2331660413907424E-3</v>
      </c>
      <c r="BJ63" s="207">
        <f>INDEX($A$61:$H$74,MATCH($L63,$B$61:$B$74,0),MATCH($BC$60,$A$61:$H$61,0))*고양시_Modal_split!J$3 * 0.01</f>
        <v>5.7301285719400789E-2</v>
      </c>
      <c r="BK63" s="207">
        <f>INDEX($A$61:$H$74,MATCH($L63,$B$61:$B$74,0),MATCH($BC$60,$A$61:$H$61,0))*고양시_Modal_split!K$3 * 0.01</f>
        <v>2.8236507417575947E-4</v>
      </c>
      <c r="BL63" s="207">
        <f>INDEX($A$61:$H$74,MATCH($L63,$B$61:$B$74,0),MATCH($BC$60,$A$61:$H$61,0))*고양시_Modal_split!L$3 * 0.01</f>
        <v>5.6849501600719577E-3</v>
      </c>
      <c r="BM63" s="207">
        <f>INDEX($A$61:$H$74,MATCH($L63,$B$61:$B$74,0),MATCH($BC$60,$A$61:$H$61,0))*고양시_Modal_split!M$3 * 0.01</f>
        <v>4.3295978040283118E-4</v>
      </c>
      <c r="BN63" s="207">
        <f>INDEX($A$61:$H$74,MATCH($L63,$B$61:$B$74,0),MATCH($BC$60,$A$61:$H$61,0))*고양시_Modal_split!N$3 * 0.01</f>
        <v>1.8824338278383964E-4</v>
      </c>
      <c r="BO63" s="207">
        <f>INDEX($A$61:$H$74,MATCH($L63,$B$61:$B$74,0),MATCH($BC$60,$A$61:$H$61,0))*고양시_Modal_split!O$3 * 0.01</f>
        <v>3.3883808901091132E-4</v>
      </c>
      <c r="BP63" s="207">
        <f>INDEX($A$61:$H$74,MATCH($L63,$B$61:$B$74,0),MATCH($BC$60,$A$61:$H$61,0))*고양시_Modal_split!P$3 * 0.01</f>
        <v>0.18824338278383967</v>
      </c>
      <c r="BQ63" s="207">
        <f>INDEX($A$61:$H$74,MATCH($L63,$B$61:$B$74,0),MATCH($BQ$60,$A$61:$H$61,0))*고양시_Modal_split!C$3 * 0.01</f>
        <v>1.4933975034184727E-3</v>
      </c>
      <c r="BR63" s="207">
        <f>INDEX($A$61:$H$74,MATCH($L63,$B$61:$B$74,0),MATCH($BQ$60,$A$61:$H$61,0))*고양시_Modal_split!D$3 * 0.01</f>
        <v>0.25083744494918137</v>
      </c>
      <c r="BS63" s="207">
        <f>INDEX($A$61:$H$74,MATCH($L63,$B$61:$B$74,0),MATCH($BQ$60,$A$61:$H$61,0))*고양시_Modal_split!E$3 * 0.01</f>
        <v>3.0347970694468249E-2</v>
      </c>
      <c r="BT63" s="207">
        <f>INDEX($A$61:$H$74,MATCH($L63,$B$61:$B$74,0),MATCH($BQ$60,$A$61:$H$61,0))*고양시_Modal_split!F$3 * 0.01</f>
        <v>4.8908768236954982E-2</v>
      </c>
      <c r="BU63" s="207">
        <f>INDEX($A$61:$H$74,MATCH($L63,$B$61:$B$74,0),MATCH($BQ$60,$A$61:$H$61,0))*고양시_Modal_split!G$3 * 0.01</f>
        <v>4.9068775112321248E-3</v>
      </c>
      <c r="BV63" s="207">
        <f>INDEX($A$61:$H$74,MATCH($L63,$B$61:$B$74,0),MATCH($BQ$60,$A$61:$H$61,0))*고양시_Modal_split!H$3 * 0.01</f>
        <v>5.333562512208832E-5</v>
      </c>
      <c r="BW63" s="207">
        <f>INDEX($A$61:$H$74,MATCH($L63,$B$61:$B$74,0),MATCH($BQ$60,$A$61:$H$61,0))*고양시_Modal_split!I$3 * 0.01</f>
        <v>1.4827303783940551E-2</v>
      </c>
      <c r="BX63" s="207">
        <f>INDEX($A$61:$H$74,MATCH($L63,$B$61:$B$74,0),MATCH($BQ$60,$A$61:$H$61,0))*고양시_Modal_split!J$3 * 0.01</f>
        <v>0.16235364287163684</v>
      </c>
      <c r="BY63" s="207">
        <f>INDEX($A$61:$H$74,MATCH($L63,$B$61:$B$74,0),MATCH($BQ$60,$A$61:$H$61,0))*고양시_Modal_split!K$3 * 0.01</f>
        <v>8.0003437683132464E-4</v>
      </c>
      <c r="BZ63" s="207">
        <f>INDEX($A$61:$H$74,MATCH($L63,$B$61:$B$74,0),MATCH($BQ$60,$A$61:$H$61,0))*고양시_Modal_split!L$3 * 0.01</f>
        <v>1.6107358786870671E-2</v>
      </c>
      <c r="CA63" s="207">
        <f>INDEX($A$61:$H$74,MATCH($L63,$B$61:$B$74,0),MATCH($BQ$60,$A$61:$H$61,0))*고양시_Modal_split!M$3 * 0.01</f>
        <v>1.2267193778080312E-3</v>
      </c>
      <c r="CB63" s="207">
        <f>INDEX($A$61:$H$74,MATCH($L63,$B$61:$B$74,0),MATCH($BQ$60,$A$61:$H$61,0))*고양시_Modal_split!N$3 * 0.01</f>
        <v>5.333562512208832E-4</v>
      </c>
      <c r="CC63" s="207">
        <f>INDEX($A$61:$H$74,MATCH($L63,$B$61:$B$74,0),MATCH($BQ$60,$A$61:$H$61,0))*고양시_Modal_split!O$3 * 0.01</f>
        <v>9.6004125219758955E-4</v>
      </c>
      <c r="CD63" s="207">
        <f>INDEX($A$61:$H$74,MATCH($L63,$B$61:$B$74,0),MATCH($BQ$60,$A$61:$H$61,0))*고양시_Modal_split!P$3 * 0.01</f>
        <v>0.53335625122088315</v>
      </c>
      <c r="CE63" s="304">
        <f t="shared" ref="CE63:CE74" si="31">M63+AA63+AO63+BC63+BQ63</f>
        <v>5.1451497103804718</v>
      </c>
      <c r="CF63" s="304">
        <f t="shared" si="13"/>
        <v>864.2013959971199</v>
      </c>
      <c r="CG63" s="304">
        <f t="shared" si="14"/>
        <v>104.55679232880314</v>
      </c>
      <c r="CH63" s="304">
        <f t="shared" si="15"/>
        <v>168.50365301496043</v>
      </c>
      <c r="CI63" s="304">
        <f t="shared" si="16"/>
        <v>16.905491905535833</v>
      </c>
      <c r="CJ63" s="304">
        <f t="shared" si="17"/>
        <v>0.18375534679930253</v>
      </c>
      <c r="CK63" s="304">
        <f t="shared" si="18"/>
        <v>51.083986410206101</v>
      </c>
      <c r="CL63" s="304">
        <f t="shared" si="19"/>
        <v>559.35127565707694</v>
      </c>
      <c r="CM63" s="304">
        <f t="shared" si="20"/>
        <v>2.7563302019895386</v>
      </c>
      <c r="CN63" s="304">
        <f t="shared" si="21"/>
        <v>55.494114733389374</v>
      </c>
      <c r="CO63" s="304">
        <f t="shared" si="22"/>
        <v>4.2263729763839581</v>
      </c>
      <c r="CP63" s="304">
        <f t="shared" si="23"/>
        <v>1.8375534679930254</v>
      </c>
      <c r="CQ63" s="304">
        <f t="shared" si="24"/>
        <v>3.3075962423874459</v>
      </c>
      <c r="CR63" s="304">
        <f t="shared" si="25"/>
        <v>1837.5534679930258</v>
      </c>
      <c r="CS63" s="305">
        <f t="shared" ref="CS63:CS74" si="32">H63-CR63</f>
        <v>0</v>
      </c>
      <c r="CV63" s="265" t="s">
        <v>605</v>
      </c>
      <c r="CW63" s="265" t="s">
        <v>607</v>
      </c>
      <c r="CX63" s="267">
        <f>INDEX($M$60:$Z$74,MATCH($CW63,$L$60:$L$74,0),MATCH(CX$61,$M$61:$Z$61,0))/INDEX(고양시_재차인원!$D$4:$H$35,MATCH("고양시",고양시_재차인원!$B$4:$B$35,0),MATCH($CX$60,고양시_재차인원!$D$4:$H$4,0))</f>
        <v>84.565418021470251</v>
      </c>
      <c r="CY63" s="267">
        <f>INDEX($M$60:$Z$74,MATCH($CW63,$L$60:$L$74,0),MATCH(CY$61,$M$61:$Z$61,0))/INDEX(고양시_재차인원!$K$4:$O$20,MATCH("경기도",고양시_재차인원!$K$4:$K$20,0),MATCH($CY$61,고양시_재차인원!$K$4:$O$4,0))</f>
        <v>6.9951040528509604E-4</v>
      </c>
      <c r="CZ63" s="267">
        <f>INDEX($M$60:$Z$74,MATCH($CW63,$L$60:$L$74,0),MATCH(CZ$61,$M$61:$Z$61,0))/INDEX(고양시_재차인원!$K$4:$O$20,MATCH("경기도",고양시_재차인원!$K$4:$K$20,0),MATCH($CZ$61,고양시_재차인원!$K$4:$O$4,0))</f>
        <v>0.1944638926692567</v>
      </c>
      <c r="DA63" s="267">
        <f>INDEX($M$60:$Z$74,MATCH($CW63,$L$60:$L$74,0),MATCH(DA$61,$M$61:$Z$61,0))/INDEX(고양시_재차인원!$D$4:$H$35,MATCH("고양시",고양시_재차인원!$B$4:$B$35,0),MATCH($CX$60,고양시_재차인원!$D$4:$H$4,0))</f>
        <v>5.4303117674854375</v>
      </c>
      <c r="DB63" s="267">
        <f>INDEX($AA$60:$AN$74,MATCH($CW63,$L$60:$L$74,0),MATCH(DB$61,$AA$61:$AN$61,0))/INDEX(고양시_재차인원!$D$4:$H$35,MATCH("고양시",고양시_재차인원!$B$4:$B$35,0),MATCH($DB$60,고양시_재차인원!$D$4:$H$4,0))</f>
        <v>522.34255588812482</v>
      </c>
      <c r="DC63" s="267">
        <f>INDEX($AA$60:$AN$74,MATCH($CW63,$L$60:$L$74,0),MATCH(DC$61,$AA$61:$AN$61,0))/INDEX(고양시_재차인원!$K$4:$O$20,MATCH("경기도",고양시_재차인원!$K$4:$K$20,0),MATCH($DC$61,고양시_재차인원!$K$4:$O$4,0))</f>
        <v>5.4394861940809322E-3</v>
      </c>
      <c r="DD63" s="267">
        <f>INDEX($AA$60:$AN$74,MATCH($CW63,$L$60:$L$74,0),MATCH(DD$61,$AA$61:$AN$61,0))/INDEX(고양시_재차인원!$K$4:$O$20,MATCH("경기도",고양시_재차인원!$K$4:$K$20,0),MATCH($DD$61,고양시_재차인원!$K$4:$O$4,0))</f>
        <v>1.5121771619544988</v>
      </c>
      <c r="DE63" s="267">
        <f>INDEX($AA$60:$AN$74,MATCH($CW63,$L$60:$L$74,0),MATCH(DE$61,$AA$61:$AN$61,0))/INDEX(고양시_재차인원!$D$4:$H$35,MATCH("고양시",고양시_재차인원!$B$4:$B$35,0),MATCH($DB$60,고양시_재차인원!$D$4:$H$4,0))</f>
        <v>33.54187792434908</v>
      </c>
      <c r="DF63" s="267">
        <f>INDEX($AO$60:$BB$74,MATCH($CW63,$L$60:$L$74,0),MATCH(DF$61,$AO$61:$BB$61,0))/INDEX(고양시_재차인원!$D$4:$H$35,MATCH("고양시",고양시_재차인원!$B$4:$B$35,0),MATCH($DF$60,고양시_재차인원!$D$4:$H$4,0))</f>
        <v>25.112119771496022</v>
      </c>
      <c r="DG63" s="267">
        <f>INDEX($AO$60:$BB$74,MATCH($CW63,$L$60:$L$74,0),MATCH(DG$61,$AO$61:$BB$61,0))/INDEX(고양시_재차인원!$K$4:$O$20,MATCH("경기도",고양시_재차인원!$K$4:$K$20,0),MATCH($DG$61,고양시_재차인원!$K$4:$O$4,0))</f>
        <v>2.4110714623668363E-4</v>
      </c>
      <c r="DH63" s="267">
        <f>INDEX($AO$60:$BB$74,MATCH($CW63,$L$60:$L$74,0),MATCH(DH$61,$AO$61:$BB$61,0))/INDEX(고양시_재차인원!$K$4:$O$20,MATCH("경기도",고양시_재차인원!$K$4:$K$20,0),MATCH($DH$61,고양시_재차인원!$K$4:$O$4,0))</f>
        <v>6.7027786653798035E-2</v>
      </c>
      <c r="DI63" s="267">
        <f>INDEX($AO$60:$BB$74,MATCH($CW63,$L$60:$L$74,0),MATCH(DI$61,$AO$61:$BB$61,0))/INDEX(고양시_재차인원!$D$4:$H$35,MATCH("고양시",고양시_재차인원!$B$4:$B$35,0),MATCH($DF$60,고양시_재차인원!$D$4:$H$4,0))</f>
        <v>1.6125579780973418</v>
      </c>
      <c r="DJ63" s="267">
        <f>INDEX($BC$60:$BP$74,MATCH($CW63,$L$60:$L$74,0),MATCH(DJ$61,$BC$61:$BP$61,0))/INDEX(고양시_재차인원!$D$4:$H$35,MATCH("고양시",고양시_재차인원!$B$4:$B$35,0),MATCH($DJ$60,고양시_재차인원!$D$4:$H$4,0))</f>
        <v>6.5096222737676318E-2</v>
      </c>
      <c r="DK63" s="267">
        <f>INDEX($BC$60:$BP$74,MATCH($CW63,$L$60:$L$74,0),MATCH(DK$61,$BC$61:$BP$61,0))/INDEX(고양시_재차인원!$K$4:$O$20,MATCH("경기도",고양시_재차인원!$K$4:$K$20,0),MATCH($DK$61,고양시_재차인원!$K$4:$O$4,0))</f>
        <v>6.5384988809947789E-7</v>
      </c>
      <c r="DL63" s="267">
        <f>INDEX($BC$60:$BP$74,MATCH($CW63,$L$60:$L$74,0),MATCH(DL$61,$BC$61:$BP$61,0))/INDEX(고양시_재차인원!$K$4:$O$20,MATCH("경기도",고양시_재차인원!$K$4:$K$20,0),MATCH($DL$61,고양시_재차인원!$K$4:$O$4,0))</f>
        <v>1.8177026889165484E-4</v>
      </c>
      <c r="DM63" s="267">
        <f>INDEX($BC$60:$BP$74,MATCH($CW63,$L$60:$L$74,0),MATCH(DM$61,$BC$61:$BP$61,0))/INDEX(고양시_재차인원!$D$4:$H$35,MATCH("고양시",고양시_재차인원!$B$4:$B$35,0),MATCH($DJ$60,고양시_재차인원!$D$4:$H$4,0))</f>
        <v>4.1801104118176155E-3</v>
      </c>
      <c r="DN63" s="267">
        <f>INDEX($BQ$60:$CD$74,MATCH($CW63,$L$60:$L$74,0),MATCH(DN$61,$BQ$61:$CD$61,0))/INDEX(고양시_재차인원!$D$4:$H$35,MATCH("고양시",고양시_재차인원!$B$4:$B$35,0),MATCH($DN$60,고양시_재차인원!$D$4:$H$4,0))</f>
        <v>0.19907733726125504</v>
      </c>
      <c r="DO63" s="267">
        <f>INDEX($BQ$60:$CD$74,MATCH($CW63,$L$60:$L$74,0),MATCH(DO$61,$BQ$61:$CD$61,0))/INDEX(고양시_재차인원!$K$4:$O$20,MATCH("경기도",고양시_재차인원!$K$4:$K$20,0),MATCH($DO$61,고양시_재차인원!$K$4:$O$4,0))</f>
        <v>1.8525746829485349E-6</v>
      </c>
      <c r="DP63" s="267">
        <f>INDEX($BQ$60:$CD$74,MATCH($CW63,$L$60:$L$74,0),MATCH(DP$61,$BQ$61:$CD$61,0))/INDEX(고양시_재차인원!$K$4:$O$20,MATCH("경기도",고양시_재차인원!$K$4:$K$20,0),MATCH($DP$61,고양시_재차인원!$K$4:$O$4,0))</f>
        <v>5.150157618596927E-4</v>
      </c>
      <c r="DQ63" s="267">
        <f>INDEX($BQ$60:$CD$74,MATCH($CW63,$L$60:$L$74,0),MATCH(DQ$61,$BQ$61:$CD$61,0))/INDEX(고양시_재차인원!$D$4:$H$35,MATCH("고양시",고양시_재차인원!$B$4:$B$35,0),MATCH($DN$60,고양시_재차인원!$D$4:$H$4,0))</f>
        <v>1.2783618084817993E-2</v>
      </c>
      <c r="DR63" s="270">
        <f t="shared" ref="DR63:DR74" si="33">CX63+DB63+DF63+DJ63+DN63</f>
        <v>632.28426724108999</v>
      </c>
      <c r="DS63" s="270">
        <f t="shared" si="26"/>
        <v>6.38261017017376E-3</v>
      </c>
      <c r="DT63" s="270">
        <f t="shared" si="27"/>
        <v>1.7743656273083048</v>
      </c>
      <c r="DU63" s="270">
        <f t="shared" si="28"/>
        <v>40.601711398428492</v>
      </c>
      <c r="DW63" s="278" t="s">
        <v>605</v>
      </c>
      <c r="DX63" s="278" t="s">
        <v>607</v>
      </c>
      <c r="DY63" s="281">
        <f t="shared" ref="DY63:DY66" si="34">DR63+DU63</f>
        <v>672.8859786395185</v>
      </c>
      <c r="DZ63" s="281">
        <f t="shared" ref="DZ63:DZ66" si="35">DS63+DT63</f>
        <v>1.7807482374784787</v>
      </c>
      <c r="EB63" s="278" t="s">
        <v>622</v>
      </c>
      <c r="EC63" s="278" t="s">
        <v>607</v>
      </c>
      <c r="ED63" s="309">
        <f t="shared" ref="ED63:ED65" si="36">DY63+DY$68*($EN65/SUM($EN$64:$EN$67))</f>
        <v>790.1635363377095</v>
      </c>
      <c r="EE63" s="309">
        <f t="shared" si="29"/>
        <v>2.0911155371346299</v>
      </c>
      <c r="EK63" s="420" t="s">
        <v>12</v>
      </c>
      <c r="EL63" s="420" t="s">
        <v>12</v>
      </c>
      <c r="EM63" s="420" t="s">
        <v>610</v>
      </c>
      <c r="EN63" s="420">
        <v>15857.7047</v>
      </c>
      <c r="EO63" s="420">
        <v>0.5264012731380332</v>
      </c>
      <c r="EP63" s="421">
        <v>849002</v>
      </c>
      <c r="EQ63" s="422">
        <f t="shared" ref="EQ63:EQ81" si="37">VLOOKUP($EL63,$EC$62:$EE$73,2,FALSE)*$EO63 * $CW$9*(1-$DA$5)</f>
        <v>35.652694374500491</v>
      </c>
      <c r="ER63" s="422">
        <f t="shared" ref="ER63:ER81" si="38">VLOOKUP($EL63,$EC$62:$EE$73,3,FALSE)*$EO63*$CW$9*(1-$DA$5)</f>
        <v>9.4352497576358219E-2</v>
      </c>
      <c r="ES63">
        <v>0</v>
      </c>
      <c r="EU63" s="306" t="s">
        <v>12</v>
      </c>
      <c r="EV63" s="306" t="s">
        <v>12</v>
      </c>
      <c r="EW63" s="306" t="s">
        <v>610</v>
      </c>
      <c r="EX63" s="306">
        <v>15857.7047</v>
      </c>
      <c r="EY63" s="306">
        <v>0.5264012731380332</v>
      </c>
      <c r="EZ63" s="307">
        <v>849002</v>
      </c>
      <c r="FA63" s="308">
        <f t="shared" ref="FA63:FA81" si="39">EQ63*$EG$55</f>
        <v>35.652694374500491</v>
      </c>
      <c r="FB63" s="308">
        <f t="shared" si="30"/>
        <v>9.4352497576358219E-2</v>
      </c>
      <c r="FD63" s="101"/>
      <c r="FE63" s="101"/>
      <c r="FF63" s="101"/>
      <c r="FG63" s="101"/>
      <c r="FH63" s="101"/>
      <c r="FI63" s="374"/>
      <c r="FJ63" s="404"/>
      <c r="FK63" s="404"/>
    </row>
    <row r="64" spans="1:167">
      <c r="A64" s="205" t="s">
        <v>605</v>
      </c>
      <c r="B64" s="205" t="s">
        <v>608</v>
      </c>
      <c r="C64" s="201">
        <f>$L31*KTDB_TripDistribution_2040!L$12</f>
        <v>165.03096542806989</v>
      </c>
      <c r="D64" s="201">
        <f>$L31*KTDB_TripDistribution_2040!M$12</f>
        <v>1283.3027947253611</v>
      </c>
      <c r="E64" s="201">
        <f>$L31*KTDB_TripDistribution_2040!N$12</f>
        <v>56.882849510765531</v>
      </c>
      <c r="F64" s="201">
        <f>$L31*KTDB_TripDistribution_2040!O$12</f>
        <v>0.15425857494444811</v>
      </c>
      <c r="G64" s="201">
        <f>$L31*KTDB_TripDistribution_2040!P$12</f>
        <v>0.43706596234260647</v>
      </c>
      <c r="H64" s="201">
        <f>$K31*KTDB_TripDistribution_2040!Q$12</f>
        <v>1505.8079342014835</v>
      </c>
      <c r="J64" s="230">
        <f t="shared" si="12"/>
        <v>1505.8079342014835</v>
      </c>
      <c r="K64" s="206" t="s">
        <v>605</v>
      </c>
      <c r="L64" s="206" t="s">
        <v>608</v>
      </c>
      <c r="M64" s="206">
        <f>INDEX($A$61:$H$74,MATCH($L64,$B$61:$B$74,0),MATCH($M$60,$A$61:$H$61,0))*고양시_Modal_split!C$3 * 0.01</f>
        <v>0.46208670319859563</v>
      </c>
      <c r="N64" s="206">
        <f>INDEX($A$61:$H$74,MATCH($L64,$B$61:$B$74,0),MATCH($M$60,$A$61:$H$61,0))*고양시_Modal_split!D$3 * 0.01</f>
        <v>77.614063040821279</v>
      </c>
      <c r="O64" s="206">
        <f>INDEX($A$61:$H$74,MATCH($L64,$B$61:$B$74,0),MATCH($M$60,$A$61:$H$61,0))*고양시_Modal_split!E$3 * 0.01</f>
        <v>9.3902619328571753</v>
      </c>
      <c r="P64" s="206">
        <f>INDEX($A$61:$H$74,MATCH($L64,$B$61:$B$74,0),MATCH($M$60,$A$61:$H$61,0))*고양시_Modal_split!F$3 * 0.01</f>
        <v>15.133339529754011</v>
      </c>
      <c r="Q64" s="206">
        <f>INDEX($A$61:$H$74,MATCH($L64,$B$61:$B$74,0),MATCH($M$60,$A$61:$H$61,0))*고양시_Modal_split!G$3 * 0.01</f>
        <v>1.5182848819382428</v>
      </c>
      <c r="R64" s="206">
        <f>INDEX($A$61:$H$74,MATCH($L64,$B$61:$B$74,0),MATCH($M$60,$A$61:$H$61,0))*고양시_Modal_split!H$3 * 0.01</f>
        <v>1.6503096542806989E-2</v>
      </c>
      <c r="S64" s="206">
        <f>INDEX($A$61:$H$74,MATCH($L64,$B$61:$B$74,0),MATCH($M$60,$A$61:$H$61,0))*고양시_Modal_split!I$3 * 0.01</f>
        <v>4.587860838900343</v>
      </c>
      <c r="T64" s="206">
        <f>INDEX($A$61:$H$74,MATCH($L64,$B$61:$B$74,0),MATCH($M$60,$A$61:$H$61,0))*고양시_Modal_split!J$3 * 0.01</f>
        <v>50.235425876304483</v>
      </c>
      <c r="U64" s="206">
        <f>INDEX($A$61:$H$74,MATCH($L64,$B$61:$B$74,0),MATCH($M$60,$A$61:$H$61,0))*고양시_Modal_split!K$3 * 0.01</f>
        <v>0.24754644814210483</v>
      </c>
      <c r="V64" s="206">
        <f>INDEX($A$61:$H$74,MATCH($L64,$B$61:$B$74,0),MATCH($M$60,$A$61:$H$61,0))*고양시_Modal_split!L$3 * 0.01</f>
        <v>4.9839351559277105</v>
      </c>
      <c r="W64" s="206">
        <f>INDEX($A$61:$H$74,MATCH($L64,$B$61:$B$74,0),MATCH($M$60,$A$61:$H$61,0))*고양시_Modal_split!M$3 * 0.01</f>
        <v>0.37957122048456071</v>
      </c>
      <c r="X64" s="206">
        <f>INDEX($A$61:$H$74,MATCH($L64,$B$61:$B$74,0),MATCH($M$60,$A$61:$H$61,0))*고양시_Modal_split!N$3 * 0.01</f>
        <v>0.16503096542806991</v>
      </c>
      <c r="Y64" s="206">
        <f>INDEX($A$61:$H$74,MATCH($L64,$B$61:$B$74,0),MATCH($M$60,$A$61:$H$61,0))*고양시_Modal_split!O$3 * 0.01</f>
        <v>0.2970557377705258</v>
      </c>
      <c r="Z64" s="209">
        <f>INDEX($A$61:$H$74,MATCH($L64,$B$61:$B$74,0),MATCH($M$60,$A$61:$H$61,0))*고양시_Modal_split!P$3 * 0.01</f>
        <v>165.03096542806992</v>
      </c>
      <c r="AA64" s="207">
        <f>INDEX($A$61:$H$74,MATCH($L64,$B$61:$B$74,0),MATCH($AA$60,$A$61:$H$61,0))*고양시_Modal_split!C$3 * 0.01</f>
        <v>3.5932478252310109</v>
      </c>
      <c r="AB64" s="207">
        <f>INDEX($A$61:$H$74,MATCH($L64,$B$61:$B$74,0),MATCH($AA$60,$A$61:$H$61,0))*고양시_Modal_split!D$3 * 0.01</f>
        <v>603.53730435933733</v>
      </c>
      <c r="AC64" s="207">
        <f>INDEX($A$61:$H$74,MATCH($L64,$B$61:$B$74,0),MATCH($AA$60,$A$61:$H$61,0))*고양시_Modal_split!E$3 * 0.01</f>
        <v>73.019929019873047</v>
      </c>
      <c r="AD64" s="207">
        <f>INDEX($A$61:$H$74,MATCH($L64,$B$61:$B$74,0),MATCH($AA$60,$A$61:$H$61,0))*고양시_Modal_split!F$3 * 0.01</f>
        <v>117.6788662763156</v>
      </c>
      <c r="AE64" s="207">
        <f>INDEX($A$61:$H$74,MATCH($L64,$B$61:$B$74,0),MATCH($AA$60,$A$61:$H$61,0))*고양시_Modal_split!G$3 * 0.01</f>
        <v>11.806385711473322</v>
      </c>
      <c r="AF64" s="207">
        <f>INDEX($A$61:$H$74,MATCH($L64,$B$61:$B$74,0),MATCH($AA$60,$A$61:$H$61,0))*고양시_Modal_split!H$3 * 0.01</f>
        <v>0.12833027947253611</v>
      </c>
      <c r="AG64" s="207">
        <f>INDEX($A$61:$H$74,MATCH($L64,$B$61:$B$74,0),MATCH($AA$60,$A$61:$H$61,0))*고양시_Modal_split!I$3 * 0.01</f>
        <v>35.675817693365033</v>
      </c>
      <c r="AH64" s="207">
        <f>INDEX($A$61:$H$74,MATCH($L64,$B$61:$B$74,0),MATCH($AA$60,$A$61:$H$61,0))*고양시_Modal_split!J$3 * 0.01</f>
        <v>390.63737071439994</v>
      </c>
      <c r="AI64" s="207">
        <f>INDEX($A$61:$H$74,MATCH($L64,$B$61:$B$74,0),MATCH($AA$60,$A$61:$H$61,0))*고양시_Modal_split!K$3 * 0.01</f>
        <v>1.9249541920880415</v>
      </c>
      <c r="AJ64" s="207">
        <f>INDEX($A$61:$H$74,MATCH($L64,$B$61:$B$74,0),MATCH($AA$60,$A$61:$H$61,0))*고양시_Modal_split!L$3 * 0.01</f>
        <v>38.7557444007059</v>
      </c>
      <c r="AK64" s="207">
        <f>INDEX($A$61:$H$74,MATCH($L64,$B$61:$B$74,0),MATCH($AA$60,$A$61:$H$61,0))*고양시_Modal_split!M$3 * 0.01</f>
        <v>2.9515964278683304</v>
      </c>
      <c r="AL64" s="207">
        <f>INDEX($A$61:$H$74,MATCH($L64,$B$61:$B$74,0),MATCH($AA$60,$A$61:$H$61,0))*고양시_Modal_split!N$3 * 0.01</f>
        <v>1.2833027947253612</v>
      </c>
      <c r="AM64" s="207">
        <f>INDEX($A$61:$H$74,MATCH($L64,$B$61:$B$74,0),MATCH($AA$60,$A$61:$H$61,0))*고양시_Modal_split!O$3 * 0.01</f>
        <v>2.3099450305056499</v>
      </c>
      <c r="AN64" s="207">
        <f>INDEX($A$61:$H$74,MATCH($L64,$B$61:$B$74,0),MATCH($AA$60,$A$61:$H$61,0))*고양시_Modal_split!P$3 * 0.01</f>
        <v>1283.3027947253611</v>
      </c>
      <c r="AO64" s="303">
        <f>INDEX($A$61:$H$74,MATCH($L64,$B$61:$B$74,0),MATCH($AO$60,$A$61:$H$61,0))*고양시_Modal_split!C$3 * 0.01</f>
        <v>0.15927197863014347</v>
      </c>
      <c r="AP64" s="303">
        <f>INDEX($A$61:$H$74,MATCH($L64,$B$61:$B$74,0),MATCH($AO$60,$A$61:$H$61,0))*고양시_Modal_split!D$3 * 0.01</f>
        <v>26.752004124913029</v>
      </c>
      <c r="AQ64" s="303">
        <f>INDEX($A$61:$H$74,MATCH($L64,$B$61:$B$74,0),MATCH($AO$60,$A$61:$H$61,0))*고양시_Modal_split!E$3 * 0.01</f>
        <v>3.2366341371625582</v>
      </c>
      <c r="AR64" s="303">
        <f>INDEX($A$61:$H$74,MATCH($L64,$B$61:$B$74,0),MATCH($AO$60,$A$61:$H$61,0))*고양시_Modal_split!F$3 * 0.01</f>
        <v>5.2161573001371995</v>
      </c>
      <c r="AS64" s="303">
        <f>INDEX($A$61:$H$74,MATCH($L64,$B$61:$B$74,0),MATCH($AO$60,$A$61:$H$61,0))*고양시_Modal_split!G$3 * 0.01</f>
        <v>0.52332221549904279</v>
      </c>
      <c r="AT64" s="303">
        <f>INDEX($A$61:$H$74,MATCH($L64,$B$61:$B$74,0),MATCH($AO$60,$A$61:$H$61,0))*고양시_Modal_split!H$3 * 0.01</f>
        <v>5.6882849510765535E-3</v>
      </c>
      <c r="AU64" s="303">
        <f>INDEX($A$61:$H$74,MATCH($L64,$B$61:$B$74,0),MATCH($AO$60,$A$61:$H$61,0))*고양시_Modal_split!I$3 * 0.01</f>
        <v>1.5813432163992818</v>
      </c>
      <c r="AV64" s="303">
        <f>INDEX($A$61:$H$74,MATCH($L64,$B$61:$B$74,0),MATCH($AO$60,$A$61:$H$61,0))*고양시_Modal_split!J$3 * 0.01</f>
        <v>17.315139391077029</v>
      </c>
      <c r="AW64" s="303">
        <f>INDEX($A$61:$H$74,MATCH($L64,$B$61:$B$74,0),MATCH($AO$60,$A$61:$H$61,0))*고양시_Modal_split!K$3 * 0.01</f>
        <v>8.5324274266148289E-2</v>
      </c>
      <c r="AX64" s="303">
        <f>INDEX($A$61:$H$74,MATCH($L64,$B$61:$B$74,0),MATCH($AO$60,$A$61:$H$61,0))*고양시_Modal_split!L$3 * 0.01</f>
        <v>1.7178620552251189</v>
      </c>
      <c r="AY64" s="303">
        <f>INDEX($A$61:$H$74,MATCH($L64,$B$61:$B$74,0),MATCH($AO$60,$A$61:$H$61,0))*고양시_Modal_split!M$3 * 0.01</f>
        <v>0.1308305538747607</v>
      </c>
      <c r="AZ64" s="303">
        <f>INDEX($A$61:$H$74,MATCH($L64,$B$61:$B$74,0),MATCH($AO$60,$A$61:$H$61,0))*고양시_Modal_split!N$3 * 0.01</f>
        <v>5.688284951076554E-2</v>
      </c>
      <c r="BA64" s="207">
        <f>INDEX($A$61:$H$74,MATCH($L64,$B$61:$B$74,0),MATCH($AO$60,$A$61:$H$61,0))*고양시_Modal_split!O$3 * 0.01</f>
        <v>0.10238912911937796</v>
      </c>
      <c r="BB64" s="207">
        <f>INDEX($A$61:$H$74,MATCH($L64,$B$61:$B$74,0),MATCH($AO$60,$A$61:$H$61,0))*고양시_Modal_split!P$3 * 0.01</f>
        <v>56.882849510765531</v>
      </c>
      <c r="BC64" s="207">
        <f>INDEX($A$61:$H$74,MATCH($L64,$B$61:$B$74,0),MATCH($BC$60,$A$61:$H$61,0))*고양시_Modal_split!C$3 * 0.01</f>
        <v>4.3192400984445471E-4</v>
      </c>
      <c r="BD64" s="207">
        <f>INDEX($A$61:$H$74,MATCH($L64,$B$61:$B$74,0),MATCH($BC$60,$A$61:$H$61,0))*고양시_Modal_split!D$3 * 0.01</f>
        <v>7.2547807796373945E-2</v>
      </c>
      <c r="BE64" s="207">
        <f>INDEX($A$61:$H$74,MATCH($L64,$B$61:$B$74,0),MATCH($BC$60,$A$61:$H$61,0))*고양시_Modal_split!E$3 * 0.01</f>
        <v>8.7773129143390981E-3</v>
      </c>
      <c r="BF64" s="207">
        <f>INDEX($A$61:$H$74,MATCH($L64,$B$61:$B$74,0),MATCH($BC$60,$A$61:$H$61,0))*고양시_Modal_split!F$3 * 0.01</f>
        <v>1.4145511322405893E-2</v>
      </c>
      <c r="BG64" s="207">
        <f>INDEX($A$61:$H$74,MATCH($L64,$B$61:$B$74,0),MATCH($BC$60,$A$61:$H$61,0))*고양시_Modal_split!G$3 * 0.01</f>
        <v>1.4191788894889227E-3</v>
      </c>
      <c r="BH64" s="207">
        <f>INDEX($A$61:$H$74,MATCH($L64,$B$61:$B$74,0),MATCH($BC$60,$A$61:$H$61,0))*고양시_Modal_split!H$3 * 0.01</f>
        <v>1.5425857494444814E-5</v>
      </c>
      <c r="BI64" s="207">
        <f>INDEX($A$61:$H$74,MATCH($L64,$B$61:$B$74,0),MATCH($BC$60,$A$61:$H$61,0))*고양시_Modal_split!I$3 * 0.01</f>
        <v>4.2883883834556576E-3</v>
      </c>
      <c r="BJ64" s="207">
        <f>INDEX($A$61:$H$74,MATCH($L64,$B$61:$B$74,0),MATCH($BC$60,$A$61:$H$61,0))*고양시_Modal_split!J$3 * 0.01</f>
        <v>4.6956310213090005E-2</v>
      </c>
      <c r="BK64" s="207">
        <f>INDEX($A$61:$H$74,MATCH($L64,$B$61:$B$74,0),MATCH($BC$60,$A$61:$H$61,0))*고양시_Modal_split!K$3 * 0.01</f>
        <v>2.3138786241667215E-4</v>
      </c>
      <c r="BL64" s="207">
        <f>INDEX($A$61:$H$74,MATCH($L64,$B$61:$B$74,0),MATCH($BC$60,$A$61:$H$61,0))*고양시_Modal_split!L$3 * 0.01</f>
        <v>4.6586089633223332E-3</v>
      </c>
      <c r="BM64" s="207">
        <f>INDEX($A$61:$H$74,MATCH($L64,$B$61:$B$74,0),MATCH($BC$60,$A$61:$H$61,0))*고양시_Modal_split!M$3 * 0.01</f>
        <v>3.5479472237223068E-4</v>
      </c>
      <c r="BN64" s="207">
        <f>INDEX($A$61:$H$74,MATCH($L64,$B$61:$B$74,0),MATCH($BC$60,$A$61:$H$61,0))*고양시_Modal_split!N$3 * 0.01</f>
        <v>1.5425857494444814E-4</v>
      </c>
      <c r="BO64" s="207">
        <f>INDEX($A$61:$H$74,MATCH($L64,$B$61:$B$74,0),MATCH($BC$60,$A$61:$H$61,0))*고양시_Modal_split!O$3 * 0.01</f>
        <v>2.776654349000066E-4</v>
      </c>
      <c r="BP64" s="207">
        <f>INDEX($A$61:$H$74,MATCH($L64,$B$61:$B$74,0),MATCH($BC$60,$A$61:$H$61,0))*고양시_Modal_split!P$3 * 0.01</f>
        <v>0.15425857494444811</v>
      </c>
      <c r="BQ64" s="207">
        <f>INDEX($A$61:$H$74,MATCH($L64,$B$61:$B$74,0),MATCH($BQ$60,$A$61:$H$61,0))*고양시_Modal_split!C$3 * 0.01</f>
        <v>1.223784694559298E-3</v>
      </c>
      <c r="BR64" s="207">
        <f>INDEX($A$61:$H$74,MATCH($L64,$B$61:$B$74,0),MATCH($BQ$60,$A$61:$H$61,0))*고양시_Modal_split!D$3 * 0.01</f>
        <v>0.20555212208972784</v>
      </c>
      <c r="BS64" s="207">
        <f>INDEX($A$61:$H$74,MATCH($L64,$B$61:$B$74,0),MATCH($BQ$60,$A$61:$H$61,0))*고양시_Modal_split!E$3 * 0.01</f>
        <v>2.4869053257294306E-2</v>
      </c>
      <c r="BT64" s="207">
        <f>INDEX($A$61:$H$74,MATCH($L64,$B$61:$B$74,0),MATCH($BQ$60,$A$61:$H$61,0))*고양시_Modal_split!F$3 * 0.01</f>
        <v>4.0078948746817014E-2</v>
      </c>
      <c r="BU64" s="207">
        <f>INDEX($A$61:$H$74,MATCH($L64,$B$61:$B$74,0),MATCH($BQ$60,$A$61:$H$61,0))*고양시_Modal_split!G$3 * 0.01</f>
        <v>4.0210068535519797E-3</v>
      </c>
      <c r="BV64" s="207">
        <f>INDEX($A$61:$H$74,MATCH($L64,$B$61:$B$74,0),MATCH($BQ$60,$A$61:$H$61,0))*고양시_Modal_split!H$3 * 0.01</f>
        <v>4.3706596234260651E-5</v>
      </c>
      <c r="BW64" s="207">
        <f>INDEX($A$61:$H$74,MATCH($L64,$B$61:$B$74,0),MATCH($BQ$60,$A$61:$H$61,0))*고양시_Modal_split!I$3 * 0.01</f>
        <v>1.2150433753124459E-2</v>
      </c>
      <c r="BX64" s="207">
        <f>INDEX($A$61:$H$74,MATCH($L64,$B$61:$B$74,0),MATCH($BQ$60,$A$61:$H$61,0))*고양시_Modal_split!J$3 * 0.01</f>
        <v>0.13304287893708941</v>
      </c>
      <c r="BY64" s="207">
        <f>INDEX($A$61:$H$74,MATCH($L64,$B$61:$B$74,0),MATCH($BQ$60,$A$61:$H$61,0))*고양시_Modal_split!K$3 * 0.01</f>
        <v>6.5559894351390965E-4</v>
      </c>
      <c r="BZ64" s="207">
        <f>INDEX($A$61:$H$74,MATCH($L64,$B$61:$B$74,0),MATCH($BQ$60,$A$61:$H$61,0))*고양시_Modal_split!L$3 * 0.01</f>
        <v>1.3199392062746715E-2</v>
      </c>
      <c r="CA64" s="207">
        <f>INDEX($A$61:$H$74,MATCH($L64,$B$61:$B$74,0),MATCH($BQ$60,$A$61:$H$61,0))*고양시_Modal_split!M$3 * 0.01</f>
        <v>1.0052517133879949E-3</v>
      </c>
      <c r="CB64" s="207">
        <f>INDEX($A$61:$H$74,MATCH($L64,$B$61:$B$74,0),MATCH($BQ$60,$A$61:$H$61,0))*고양시_Modal_split!N$3 * 0.01</f>
        <v>4.3706596234260653E-4</v>
      </c>
      <c r="CC64" s="207">
        <f>INDEX($A$61:$H$74,MATCH($L64,$B$61:$B$74,0),MATCH($BQ$60,$A$61:$H$61,0))*고양시_Modal_split!O$3 * 0.01</f>
        <v>7.8671873221669163E-4</v>
      </c>
      <c r="CD64" s="207">
        <f>INDEX($A$61:$H$74,MATCH($L64,$B$61:$B$74,0),MATCH($BQ$60,$A$61:$H$61,0))*고양시_Modal_split!P$3 * 0.01</f>
        <v>0.43706596234260647</v>
      </c>
      <c r="CE64" s="304">
        <f t="shared" si="31"/>
        <v>4.2162622157641545</v>
      </c>
      <c r="CF64" s="304">
        <f t="shared" si="13"/>
        <v>708.18147145495777</v>
      </c>
      <c r="CG64" s="304">
        <f t="shared" si="14"/>
        <v>85.680471456064396</v>
      </c>
      <c r="CH64" s="304">
        <f t="shared" si="15"/>
        <v>138.08258756627603</v>
      </c>
      <c r="CI64" s="304">
        <f t="shared" si="16"/>
        <v>13.853432994653648</v>
      </c>
      <c r="CJ64" s="304">
        <f t="shared" si="17"/>
        <v>0.15058079342014838</v>
      </c>
      <c r="CK64" s="304">
        <f t="shared" si="18"/>
        <v>41.861460570801242</v>
      </c>
      <c r="CL64" s="304">
        <f t="shared" si="19"/>
        <v>458.36793517093162</v>
      </c>
      <c r="CM64" s="304">
        <f t="shared" si="20"/>
        <v>2.2587119013022257</v>
      </c>
      <c r="CN64" s="304">
        <f t="shared" si="21"/>
        <v>45.4753996128848</v>
      </c>
      <c r="CO64" s="304">
        <f t="shared" si="22"/>
        <v>3.463358248663412</v>
      </c>
      <c r="CP64" s="304">
        <f t="shared" si="23"/>
        <v>1.5058079342014838</v>
      </c>
      <c r="CQ64" s="304">
        <f t="shared" si="24"/>
        <v>2.7104542815626704</v>
      </c>
      <c r="CR64" s="304">
        <f t="shared" si="25"/>
        <v>1505.8079342014835</v>
      </c>
      <c r="CS64" s="305">
        <f t="shared" si="32"/>
        <v>0</v>
      </c>
      <c r="CV64" s="265" t="s">
        <v>605</v>
      </c>
      <c r="CW64" s="265" t="s">
        <v>608</v>
      </c>
      <c r="CX64" s="267">
        <f>INDEX($M$60:$Z$74,MATCH($CW64,$L$60:$L$74,0),MATCH(CX$61,$M$61:$Z$61,0))/INDEX(고양시_재차인원!$D$4:$H$35,MATCH("고양시",고양시_재차인원!$B$4:$B$35,0),MATCH($CX$60,고양시_재차인원!$D$4:$H$4,0))</f>
        <v>69.298270572161854</v>
      </c>
      <c r="CY64" s="267">
        <f>INDEX($M$60:$Z$74,MATCH($CW64,$L$60:$L$74,0),MATCH(CY$61,$M$61:$Z$61,0))/INDEX(고양시_재차인원!$K$4:$O$20,MATCH("경기도",고양시_재차인원!$K$4:$K$20,0),MATCH($CY$61,고양시_재차인원!$K$4:$O$4,0))</f>
        <v>5.7322322135487983E-4</v>
      </c>
      <c r="CZ64" s="267">
        <f>INDEX($M$60:$Z$74,MATCH($CW64,$L$60:$L$74,0),MATCH(CZ$61,$M$61:$Z$61,0))/INDEX(고양시_재차인원!$K$4:$O$20,MATCH("경기도",고양시_재차인원!$K$4:$K$20,0),MATCH($CZ$61,고양시_재차인원!$K$4:$O$4,0))</f>
        <v>0.15935605553665658</v>
      </c>
      <c r="DA64" s="267">
        <f>INDEX($M$60:$Z$74,MATCH($CW64,$L$60:$L$74,0),MATCH(DA$61,$M$61:$Z$61,0))/INDEX(고양시_재차인원!$D$4:$H$35,MATCH("고양시",고양시_재차인원!$B$4:$B$35,0),MATCH($CX$60,고양시_재차인원!$D$4:$H$4,0))</f>
        <v>4.449942103506884</v>
      </c>
      <c r="DB64" s="267">
        <f>INDEX($AA$60:$AN$74,MATCH($CW64,$L$60:$L$74,0),MATCH(DB$61,$AA$61:$AN$61,0))/INDEX(고양시_재차인원!$D$4:$H$35,MATCH("고양시",고양시_재차인원!$B$4:$B$35,0),MATCH($DB$60,고양시_재차인원!$D$4:$H$4,0))</f>
        <v>428.04064138960098</v>
      </c>
      <c r="DC64" s="267">
        <f>INDEX($AA$60:$AN$74,MATCH($CW64,$L$60:$L$74,0),MATCH(DC$61,$AA$61:$AN$61,0))/INDEX(고양시_재차인원!$K$4:$O$20,MATCH("경기도",고양시_재차인원!$K$4:$K$20,0),MATCH($DC$61,고양시_재차인원!$K$4:$O$4,0))</f>
        <v>4.4574602109251861E-3</v>
      </c>
      <c r="DD64" s="267">
        <f>INDEX($AA$60:$AN$74,MATCH($CW64,$L$60:$L$74,0),MATCH(DD$61,$AA$61:$AN$61,0))/INDEX(고양시_재차인원!$K$4:$O$20,MATCH("경기도",고양시_재차인원!$K$4:$K$20,0),MATCH($DD$61,고양시_재차인원!$K$4:$O$4,0))</f>
        <v>1.2391739386372016</v>
      </c>
      <c r="DE64" s="267">
        <f>INDEX($AA$60:$AN$74,MATCH($CW64,$L$60:$L$74,0),MATCH(DE$61,$AA$61:$AN$61,0))/INDEX(고양시_재차인원!$D$4:$H$35,MATCH("고양시",고양시_재차인원!$B$4:$B$35,0),MATCH($DB$60,고양시_재차인원!$D$4:$H$4,0))</f>
        <v>27.48634354659993</v>
      </c>
      <c r="DF64" s="267">
        <f>INDEX($AO$60:$BB$74,MATCH($CW64,$L$60:$L$74,0),MATCH(DF$61,$AO$61:$BB$61,0))/INDEX(고양시_재차인원!$D$4:$H$35,MATCH("고양시",고양시_재차인원!$B$4:$B$35,0),MATCH($DF$60,고양시_재차인원!$D$4:$H$4,0))</f>
        <v>20.578464711471561</v>
      </c>
      <c r="DG64" s="267">
        <f>INDEX($AO$60:$BB$74,MATCH($CW64,$L$60:$L$74,0),MATCH(DG$61,$AO$61:$BB$61,0))/INDEX(고양시_재차인원!$K$4:$O$20,MATCH("경기도",고양시_재차인원!$K$4:$K$20,0),MATCH($DG$61,고양시_재차인원!$K$4:$O$4,0))</f>
        <v>1.9757849777966494E-4</v>
      </c>
      <c r="DH64" s="267">
        <f>INDEX($AO$60:$BB$74,MATCH($CW64,$L$60:$L$74,0),MATCH(DH$61,$AO$61:$BB$61,0))/INDEX(고양시_재차인원!$K$4:$O$20,MATCH("경기도",고양시_재차인원!$K$4:$K$20,0),MATCH($DH$61,고양시_재차인원!$K$4:$O$4,0))</f>
        <v>5.4926822382746848E-2</v>
      </c>
      <c r="DI64" s="267">
        <f>INDEX($AO$60:$BB$74,MATCH($CW64,$L$60:$L$74,0),MATCH(DI$61,$AO$61:$BB$61,0))/INDEX(고양시_재차인원!$D$4:$H$35,MATCH("고양시",고양시_재차인원!$B$4:$B$35,0),MATCH($DF$60,고양시_재차인원!$D$4:$H$4,0))</f>
        <v>1.3214323501731684</v>
      </c>
      <c r="DJ64" s="267">
        <f>INDEX($BC$60:$BP$74,MATCH($CW64,$L$60:$L$74,0),MATCH(DJ$61,$BC$61:$BP$61,0))/INDEX(고양시_재차인원!$D$4:$H$35,MATCH("고양시",고양시_재차인원!$B$4:$B$35,0),MATCH($DJ$60,고양시_재차인원!$D$4:$H$4,0))</f>
        <v>5.3343976320863191E-2</v>
      </c>
      <c r="DK64" s="267">
        <f>INDEX($BC$60:$BP$74,MATCH($CW64,$L$60:$L$74,0),MATCH(DK$61,$BC$61:$BP$61,0))/INDEX(고양시_재차인원!$K$4:$O$20,MATCH("경기도",고양시_재차인원!$K$4:$K$20,0),MATCH($DK$61,고양시_재차인원!$K$4:$O$4,0))</f>
        <v>5.35806095673665E-7</v>
      </c>
      <c r="DL64" s="267">
        <f>INDEX($BC$60:$BP$74,MATCH($CW64,$L$60:$L$74,0),MATCH(DL$61,$BC$61:$BP$61,0))/INDEX(고양시_재차인원!$K$4:$O$20,MATCH("경기도",고양시_재차인원!$K$4:$K$20,0),MATCH($DL$61,고양시_재차인원!$K$4:$O$4,0))</f>
        <v>1.4895409459727885E-4</v>
      </c>
      <c r="DM64" s="267">
        <f>INDEX($BC$60:$BP$74,MATCH($CW64,$L$60:$L$74,0),MATCH(DM$61,$BC$61:$BP$61,0))/INDEX(고양시_재차인원!$D$4:$H$35,MATCH("고양시",고양시_재차인원!$B$4:$B$35,0),MATCH($DJ$60,고양시_재차인원!$D$4:$H$4,0))</f>
        <v>3.4254477671487741E-3</v>
      </c>
      <c r="DN64" s="267">
        <f>INDEX($BQ$60:$CD$74,MATCH($CW64,$L$60:$L$74,0),MATCH(DN$61,$BQ$61:$CD$61,0))/INDEX(고양시_재차인원!$D$4:$H$35,MATCH("고양시",고양시_재차인원!$B$4:$B$35,0),MATCH($DN$60,고양시_재차인원!$D$4:$H$4,0))</f>
        <v>0.16313660483311734</v>
      </c>
      <c r="DO64" s="267">
        <f>INDEX($BQ$60:$CD$74,MATCH($CW64,$L$60:$L$74,0),MATCH(DO$61,$BQ$61:$CD$61,0))/INDEX(고양시_재차인원!$K$4:$O$20,MATCH("경기도",고양시_재차인원!$K$4:$K$20,0),MATCH($DO$61,고양시_재차인원!$K$4:$O$4,0))</f>
        <v>1.5181172710753961E-6</v>
      </c>
      <c r="DP64" s="267">
        <f>INDEX($BQ$60:$CD$74,MATCH($CW64,$L$60:$L$74,0),MATCH(DP$61,$BQ$61:$CD$61,0))/INDEX(고양시_재차인원!$K$4:$O$20,MATCH("경기도",고양시_재차인원!$K$4:$K$20,0),MATCH($DP$61,고양시_재차인원!$K$4:$O$4,0))</f>
        <v>4.2203660135896006E-4</v>
      </c>
      <c r="DQ64" s="267">
        <f>INDEX($BQ$60:$CD$74,MATCH($CW64,$L$60:$L$74,0),MATCH(DQ$61,$BQ$61:$CD$61,0))/INDEX(고양시_재차인원!$D$4:$H$35,MATCH("고양시",고양시_재차인원!$B$4:$B$35,0),MATCH($DN$60,고양시_재차인원!$D$4:$H$4,0))</f>
        <v>1.0475707986306917E-2</v>
      </c>
      <c r="DR64" s="270">
        <f t="shared" si="33"/>
        <v>518.13385725438843</v>
      </c>
      <c r="DS64" s="270">
        <f t="shared" si="26"/>
        <v>5.2303158534264807E-3</v>
      </c>
      <c r="DT64" s="270">
        <f t="shared" si="27"/>
        <v>1.4540278072525614</v>
      </c>
      <c r="DU64" s="270">
        <f t="shared" si="28"/>
        <v>33.271619156033438</v>
      </c>
      <c r="DW64" s="278" t="s">
        <v>605</v>
      </c>
      <c r="DX64" s="278" t="s">
        <v>608</v>
      </c>
      <c r="DY64" s="281">
        <f t="shared" si="34"/>
        <v>551.4054764104219</v>
      </c>
      <c r="DZ64" s="281">
        <f t="shared" si="35"/>
        <v>1.4592581231059878</v>
      </c>
      <c r="EB64" s="278" t="s">
        <v>622</v>
      </c>
      <c r="EC64" s="278" t="s">
        <v>608</v>
      </c>
      <c r="ED64" s="309">
        <f t="shared" si="36"/>
        <v>647.63145311314895</v>
      </c>
      <c r="EE64" s="309">
        <f t="shared" si="29"/>
        <v>1.713913806018984</v>
      </c>
      <c r="EK64" s="420" t="s">
        <v>622</v>
      </c>
      <c r="EL64" s="420" t="s">
        <v>618</v>
      </c>
      <c r="EM64" s="420" t="s">
        <v>568</v>
      </c>
      <c r="EN64" s="420">
        <v>38657.855799999998</v>
      </c>
      <c r="EO64" s="420">
        <v>1</v>
      </c>
      <c r="EP64" s="421">
        <v>849003</v>
      </c>
      <c r="EQ64" s="422">
        <f t="shared" si="37"/>
        <v>772.29012677065259</v>
      </c>
      <c r="ER64" s="422">
        <f t="shared" si="38"/>
        <v>2.0438147408710208</v>
      </c>
      <c r="ES64">
        <v>0</v>
      </c>
      <c r="EU64" s="306" t="s">
        <v>622</v>
      </c>
      <c r="EV64" s="306" t="s">
        <v>198</v>
      </c>
      <c r="EW64" s="306" t="s">
        <v>568</v>
      </c>
      <c r="EX64" s="306">
        <v>38657.855799999998</v>
      </c>
      <c r="EY64" s="306">
        <v>1</v>
      </c>
      <c r="EZ64" s="307">
        <v>849003</v>
      </c>
      <c r="FA64" s="308">
        <f t="shared" si="39"/>
        <v>772.29012677065259</v>
      </c>
      <c r="FB64" s="308">
        <f t="shared" si="30"/>
        <v>2.0438147408710208</v>
      </c>
      <c r="FD64" s="101"/>
      <c r="FE64" s="101"/>
      <c r="FF64" s="101"/>
      <c r="FG64" s="101"/>
      <c r="FH64" s="101"/>
      <c r="FI64" s="374"/>
      <c r="FJ64" s="404"/>
      <c r="FK64" s="404"/>
    </row>
    <row r="65" spans="1:167">
      <c r="A65" s="205" t="s">
        <v>605</v>
      </c>
      <c r="B65" s="205" t="s">
        <v>609</v>
      </c>
      <c r="C65" s="201">
        <f>$L32*KTDB_TripDistribution_2040!L$12</f>
        <v>168.28168787164358</v>
      </c>
      <c r="D65" s="201">
        <f>$L32*KTDB_TripDistribution_2040!M$12</f>
        <v>1308.5808459437724</v>
      </c>
      <c r="E65" s="201">
        <f>$L32*KTDB_TripDistribution_2040!N$12</f>
        <v>58.003308056708327</v>
      </c>
      <c r="F65" s="201">
        <f>$L32*KTDB_TripDistribution_2040!O$12</f>
        <v>0.15729710659446247</v>
      </c>
      <c r="G65" s="201">
        <f>$L32*KTDB_TripDistribution_2040!P$12</f>
        <v>0.44567513535098058</v>
      </c>
      <c r="H65" s="201">
        <f>$L32*KTDB_TripDistribution_2040!Q$12</f>
        <v>1535.4688141140696</v>
      </c>
      <c r="J65" s="230">
        <f t="shared" si="12"/>
        <v>1535.4688141140698</v>
      </c>
      <c r="K65" s="206" t="s">
        <v>605</v>
      </c>
      <c r="L65" s="206" t="s">
        <v>609</v>
      </c>
      <c r="M65" s="206">
        <f>INDEX($A$61:$H$74,MATCH($L65,$B$61:$B$74,0),MATCH($M$60,$A$61:$H$61,0))*고양시_Modal_split!C$3 * 0.01</f>
        <v>0.47118872604060202</v>
      </c>
      <c r="N65" s="206">
        <f>INDEX($A$61:$H$74,MATCH($L65,$B$61:$B$74,0),MATCH($M$60,$A$61:$H$61,0))*고양시_Modal_split!D$3 * 0.01</f>
        <v>79.142877806033979</v>
      </c>
      <c r="O65" s="206">
        <f>INDEX($A$61:$H$74,MATCH($L65,$B$61:$B$74,0),MATCH($M$60,$A$61:$H$61,0))*고양시_Modal_split!E$3 * 0.01</f>
        <v>9.575228039896519</v>
      </c>
      <c r="P65" s="206">
        <f>INDEX($A$61:$H$74,MATCH($L65,$B$61:$B$74,0),MATCH($M$60,$A$61:$H$61,0))*고양시_Modal_split!F$3 * 0.01</f>
        <v>15.431430777829718</v>
      </c>
      <c r="Q65" s="206">
        <f>INDEX($A$61:$H$74,MATCH($L65,$B$61:$B$74,0),MATCH($M$60,$A$61:$H$61,0))*고양시_Modal_split!G$3 * 0.01</f>
        <v>1.548191528419121</v>
      </c>
      <c r="R65" s="206">
        <f>INDEX($A$61:$H$74,MATCH($L65,$B$61:$B$74,0),MATCH($M$60,$A$61:$H$61,0))*고양시_Modal_split!H$3 * 0.01</f>
        <v>1.6828168787164359E-2</v>
      </c>
      <c r="S65" s="206">
        <f>INDEX($A$61:$H$74,MATCH($L65,$B$61:$B$74,0),MATCH($M$60,$A$61:$H$61,0))*고양시_Modal_split!I$3 * 0.01</f>
        <v>4.6782309228316912</v>
      </c>
      <c r="T65" s="206">
        <f>INDEX($A$61:$H$74,MATCH($L65,$B$61:$B$74,0),MATCH($M$60,$A$61:$H$61,0))*고양시_Modal_split!J$3 * 0.01</f>
        <v>51.224945788128309</v>
      </c>
      <c r="U65" s="206">
        <f>INDEX($A$61:$H$74,MATCH($L65,$B$61:$B$74,0),MATCH($M$60,$A$61:$H$61,0))*고양시_Modal_split!K$3 * 0.01</f>
        <v>0.25242253180746538</v>
      </c>
      <c r="V65" s="206">
        <f>INDEX($A$61:$H$74,MATCH($L65,$B$61:$B$74,0),MATCH($M$60,$A$61:$H$61,0))*고양시_Modal_split!L$3 * 0.01</f>
        <v>5.0821069737236364</v>
      </c>
      <c r="W65" s="206">
        <f>INDEX($A$61:$H$74,MATCH($L65,$B$61:$B$74,0),MATCH($M$60,$A$61:$H$61,0))*고양시_Modal_split!M$3 * 0.01</f>
        <v>0.38704788210478025</v>
      </c>
      <c r="X65" s="206">
        <f>INDEX($A$61:$H$74,MATCH($L65,$B$61:$B$74,0),MATCH($M$60,$A$61:$H$61,0))*고양시_Modal_split!N$3 * 0.01</f>
        <v>0.16828168787164358</v>
      </c>
      <c r="Y65" s="206">
        <f>INDEX($A$61:$H$74,MATCH($L65,$B$61:$B$74,0),MATCH($M$60,$A$61:$H$61,0))*고양시_Modal_split!O$3 * 0.01</f>
        <v>0.30290703816895842</v>
      </c>
      <c r="Z65" s="209">
        <f>INDEX($A$61:$H$74,MATCH($L65,$B$61:$B$74,0),MATCH($M$60,$A$61:$H$61,0))*고양시_Modal_split!P$3 * 0.01</f>
        <v>168.28168787164358</v>
      </c>
      <c r="AA65" s="207">
        <f>INDEX($A$61:$H$74,MATCH($L65,$B$61:$B$74,0),MATCH($AA$60,$A$61:$H$61,0))*고양시_Modal_split!C$3 * 0.01</f>
        <v>3.6640263686425625</v>
      </c>
      <c r="AB65" s="207">
        <f>INDEX($A$61:$H$74,MATCH($L65,$B$61:$B$74,0),MATCH($AA$60,$A$61:$H$61,0))*고양시_Modal_split!D$3 * 0.01</f>
        <v>615.4255718473562</v>
      </c>
      <c r="AC65" s="207">
        <f>INDEX($A$61:$H$74,MATCH($L65,$B$61:$B$74,0),MATCH($AA$60,$A$61:$H$61,0))*고양시_Modal_split!E$3 * 0.01</f>
        <v>74.45825013420064</v>
      </c>
      <c r="AD65" s="207">
        <f>INDEX($A$61:$H$74,MATCH($L65,$B$61:$B$74,0),MATCH($AA$60,$A$61:$H$61,0))*고양시_Modal_split!F$3 * 0.01</f>
        <v>119.99686357304392</v>
      </c>
      <c r="AE65" s="207">
        <f>INDEX($A$61:$H$74,MATCH($L65,$B$61:$B$74,0),MATCH($AA$60,$A$61:$H$61,0))*고양시_Modal_split!G$3 * 0.01</f>
        <v>12.038943782682704</v>
      </c>
      <c r="AF65" s="207">
        <f>INDEX($A$61:$H$74,MATCH($L65,$B$61:$B$74,0),MATCH($AA$60,$A$61:$H$61,0))*고양시_Modal_split!H$3 * 0.01</f>
        <v>0.13085808459437723</v>
      </c>
      <c r="AG65" s="207">
        <f>INDEX($A$61:$H$74,MATCH($L65,$B$61:$B$74,0),MATCH($AA$60,$A$61:$H$61,0))*고양시_Modal_split!I$3 * 0.01</f>
        <v>36.378547517236875</v>
      </c>
      <c r="AH65" s="207">
        <f>INDEX($A$61:$H$74,MATCH($L65,$B$61:$B$74,0),MATCH($AA$60,$A$61:$H$61,0))*고양시_Modal_split!J$3 * 0.01</f>
        <v>398.3320095052843</v>
      </c>
      <c r="AI65" s="207">
        <f>INDEX($A$61:$H$74,MATCH($L65,$B$61:$B$74,0),MATCH($AA$60,$A$61:$H$61,0))*고양시_Modal_split!K$3 * 0.01</f>
        <v>1.9628712689156587</v>
      </c>
      <c r="AJ65" s="207">
        <f>INDEX($A$61:$H$74,MATCH($L65,$B$61:$B$74,0),MATCH($AA$60,$A$61:$H$61,0))*고양시_Modal_split!L$3 * 0.01</f>
        <v>39.519141547501924</v>
      </c>
      <c r="AK65" s="207">
        <f>INDEX($A$61:$H$74,MATCH($L65,$B$61:$B$74,0),MATCH($AA$60,$A$61:$H$61,0))*고양시_Modal_split!M$3 * 0.01</f>
        <v>3.009735945670676</v>
      </c>
      <c r="AL65" s="207">
        <f>INDEX($A$61:$H$74,MATCH($L65,$B$61:$B$74,0),MATCH($AA$60,$A$61:$H$61,0))*고양시_Modal_split!N$3 * 0.01</f>
        <v>1.3085808459437724</v>
      </c>
      <c r="AM65" s="207">
        <f>INDEX($A$61:$H$74,MATCH($L65,$B$61:$B$74,0),MATCH($AA$60,$A$61:$H$61,0))*고양시_Modal_split!O$3 * 0.01</f>
        <v>2.35544552269879</v>
      </c>
      <c r="AN65" s="207">
        <f>INDEX($A$61:$H$74,MATCH($L65,$B$61:$B$74,0),MATCH($AA$60,$A$61:$H$61,0))*고양시_Modal_split!P$3 * 0.01</f>
        <v>1308.5808459437724</v>
      </c>
      <c r="AO65" s="303">
        <f>INDEX($A$61:$H$74,MATCH($L65,$B$61:$B$74,0),MATCH($AO$60,$A$61:$H$61,0))*고양시_Modal_split!C$3 * 0.01</f>
        <v>0.1624092625587833</v>
      </c>
      <c r="AP65" s="303">
        <f>INDEX($A$61:$H$74,MATCH($L65,$B$61:$B$74,0),MATCH($AO$60,$A$61:$H$61,0))*고양시_Modal_split!D$3 * 0.01</f>
        <v>27.278955779069928</v>
      </c>
      <c r="AQ65" s="303">
        <f>INDEX($A$61:$H$74,MATCH($L65,$B$61:$B$74,0),MATCH($AO$60,$A$61:$H$61,0))*고양시_Modal_split!E$3 * 0.01</f>
        <v>3.3003882284267037</v>
      </c>
      <c r="AR65" s="303">
        <f>INDEX($A$61:$H$74,MATCH($L65,$B$61:$B$74,0),MATCH($AO$60,$A$61:$H$61,0))*고양시_Modal_split!F$3 * 0.01</f>
        <v>5.3189033488001529</v>
      </c>
      <c r="AS65" s="303">
        <f>INDEX($A$61:$H$74,MATCH($L65,$B$61:$B$74,0),MATCH($AO$60,$A$61:$H$61,0))*고양시_Modal_split!G$3 * 0.01</f>
        <v>0.53363043412171662</v>
      </c>
      <c r="AT65" s="303">
        <f>INDEX($A$61:$H$74,MATCH($L65,$B$61:$B$74,0),MATCH($AO$60,$A$61:$H$61,0))*고양시_Modal_split!H$3 * 0.01</f>
        <v>5.8003308056708324E-3</v>
      </c>
      <c r="AU65" s="303">
        <f>INDEX($A$61:$H$74,MATCH($L65,$B$61:$B$74,0),MATCH($AO$60,$A$61:$H$61,0))*고양시_Modal_split!I$3 * 0.01</f>
        <v>1.6124919639764914</v>
      </c>
      <c r="AV65" s="303">
        <f>INDEX($A$61:$H$74,MATCH($L65,$B$61:$B$74,0),MATCH($AO$60,$A$61:$H$61,0))*고양시_Modal_split!J$3 * 0.01</f>
        <v>17.656206972462016</v>
      </c>
      <c r="AW65" s="303">
        <f>INDEX($A$61:$H$74,MATCH($L65,$B$61:$B$74,0),MATCH($AO$60,$A$61:$H$61,0))*고양시_Modal_split!K$3 * 0.01</f>
        <v>8.7004962085062476E-2</v>
      </c>
      <c r="AX65" s="303">
        <f>INDEX($A$61:$H$74,MATCH($L65,$B$61:$B$74,0),MATCH($AO$60,$A$61:$H$61,0))*고양시_Modal_split!L$3 * 0.01</f>
        <v>1.7516999033125915</v>
      </c>
      <c r="AY65" s="303">
        <f>INDEX($A$61:$H$74,MATCH($L65,$B$61:$B$74,0),MATCH($AO$60,$A$61:$H$61,0))*고양시_Modal_split!M$3 * 0.01</f>
        <v>0.13340760853042916</v>
      </c>
      <c r="AZ65" s="303">
        <f>INDEX($A$61:$H$74,MATCH($L65,$B$61:$B$74,0),MATCH($AO$60,$A$61:$H$61,0))*고양시_Modal_split!N$3 * 0.01</f>
        <v>5.8003308056708329E-2</v>
      </c>
      <c r="BA65" s="207">
        <f>INDEX($A$61:$H$74,MATCH($L65,$B$61:$B$74,0),MATCH($AO$60,$A$61:$H$61,0))*고양시_Modal_split!O$3 * 0.01</f>
        <v>0.10440595450207499</v>
      </c>
      <c r="BB65" s="207">
        <f>INDEX($A$61:$H$74,MATCH($L65,$B$61:$B$74,0),MATCH($AO$60,$A$61:$H$61,0))*고양시_Modal_split!P$3 * 0.01</f>
        <v>58.003308056708327</v>
      </c>
      <c r="BC65" s="207">
        <f>INDEX($A$61:$H$74,MATCH($L65,$B$61:$B$74,0),MATCH($BC$60,$A$61:$H$61,0))*고양시_Modal_split!C$3 * 0.01</f>
        <v>4.4043189846449489E-4</v>
      </c>
      <c r="BD65" s="207">
        <f>INDEX($A$61:$H$74,MATCH($L65,$B$61:$B$74,0),MATCH($BC$60,$A$61:$H$61,0))*고양시_Modal_split!D$3 * 0.01</f>
        <v>7.3976829231375704E-2</v>
      </c>
      <c r="BE65" s="207">
        <f>INDEX($A$61:$H$74,MATCH($L65,$B$61:$B$74,0),MATCH($BC$60,$A$61:$H$61,0))*고양시_Modal_split!E$3 * 0.01</f>
        <v>8.9502053652249138E-3</v>
      </c>
      <c r="BF65" s="207">
        <f>INDEX($A$61:$H$74,MATCH($L65,$B$61:$B$74,0),MATCH($BC$60,$A$61:$H$61,0))*고양시_Modal_split!F$3 * 0.01</f>
        <v>1.442414467471221E-2</v>
      </c>
      <c r="BG65" s="207">
        <f>INDEX($A$61:$H$74,MATCH($L65,$B$61:$B$74,0),MATCH($BC$60,$A$61:$H$61,0))*고양시_Modal_split!G$3 * 0.01</f>
        <v>1.4471333806690546E-3</v>
      </c>
      <c r="BH65" s="207">
        <f>INDEX($A$61:$H$74,MATCH($L65,$B$61:$B$74,0),MATCH($BC$60,$A$61:$H$61,0))*고양시_Modal_split!H$3 * 0.01</f>
        <v>1.5729710659446249E-5</v>
      </c>
      <c r="BI65" s="207">
        <f>INDEX($A$61:$H$74,MATCH($L65,$B$61:$B$74,0),MATCH($BC$60,$A$61:$H$61,0))*고양시_Modal_split!I$3 * 0.01</f>
        <v>4.3728595633260566E-3</v>
      </c>
      <c r="BJ65" s="207">
        <f>INDEX($A$61:$H$74,MATCH($L65,$B$61:$B$74,0),MATCH($BC$60,$A$61:$H$61,0))*고양시_Modal_split!J$3 * 0.01</f>
        <v>4.7881239247354379E-2</v>
      </c>
      <c r="BK65" s="207">
        <f>INDEX($A$61:$H$74,MATCH($L65,$B$61:$B$74,0),MATCH($BC$60,$A$61:$H$61,0))*고양시_Modal_split!K$3 * 0.01</f>
        <v>2.3594565989169369E-4</v>
      </c>
      <c r="BL65" s="207">
        <f>INDEX($A$61:$H$74,MATCH($L65,$B$61:$B$74,0),MATCH($BC$60,$A$61:$H$61,0))*고양시_Modal_split!L$3 * 0.01</f>
        <v>4.7503726191527665E-3</v>
      </c>
      <c r="BM65" s="207">
        <f>INDEX($A$61:$H$74,MATCH($L65,$B$61:$B$74,0),MATCH($BC$60,$A$61:$H$61,0))*고양시_Modal_split!M$3 * 0.01</f>
        <v>3.6178334516726366E-4</v>
      </c>
      <c r="BN65" s="207">
        <f>INDEX($A$61:$H$74,MATCH($L65,$B$61:$B$74,0),MATCH($BC$60,$A$61:$H$61,0))*고양시_Modal_split!N$3 * 0.01</f>
        <v>1.5729710659446249E-4</v>
      </c>
      <c r="BO65" s="207">
        <f>INDEX($A$61:$H$74,MATCH($L65,$B$61:$B$74,0),MATCH($BC$60,$A$61:$H$61,0))*고양시_Modal_split!O$3 * 0.01</f>
        <v>2.8313479187003248E-4</v>
      </c>
      <c r="BP65" s="207">
        <f>INDEX($A$61:$H$74,MATCH($L65,$B$61:$B$74,0),MATCH($BC$60,$A$61:$H$61,0))*고양시_Modal_split!P$3 * 0.01</f>
        <v>0.15729710659446247</v>
      </c>
      <c r="BQ65" s="207">
        <f>INDEX($A$61:$H$74,MATCH($L65,$B$61:$B$74,0),MATCH($BQ$60,$A$61:$H$61,0))*고양시_Modal_split!C$3 * 0.01</f>
        <v>1.2478903789827456E-3</v>
      </c>
      <c r="BR65" s="207">
        <f>INDEX($A$61:$H$74,MATCH($L65,$B$61:$B$74,0),MATCH($BQ$60,$A$61:$H$61,0))*고양시_Modal_split!D$3 * 0.01</f>
        <v>0.20960101615556617</v>
      </c>
      <c r="BS65" s="207">
        <f>INDEX($A$61:$H$74,MATCH($L65,$B$61:$B$74,0),MATCH($BQ$60,$A$61:$H$61,0))*고양시_Modal_split!E$3 * 0.01</f>
        <v>2.5358915201470791E-2</v>
      </c>
      <c r="BT65" s="207">
        <f>INDEX($A$61:$H$74,MATCH($L65,$B$61:$B$74,0),MATCH($BQ$60,$A$61:$H$61,0))*고양시_Modal_split!F$3 * 0.01</f>
        <v>4.0868409911684916E-2</v>
      </c>
      <c r="BU65" s="207">
        <f>INDEX($A$61:$H$74,MATCH($L65,$B$61:$B$74,0),MATCH($BQ$60,$A$61:$H$61,0))*고양시_Modal_split!G$3 * 0.01</f>
        <v>4.1002112452290214E-3</v>
      </c>
      <c r="BV65" s="207">
        <f>INDEX($A$61:$H$74,MATCH($L65,$B$61:$B$74,0),MATCH($BQ$60,$A$61:$H$61,0))*고양시_Modal_split!H$3 * 0.01</f>
        <v>4.456751353509806E-5</v>
      </c>
      <c r="BW65" s="207">
        <f>INDEX($A$61:$H$74,MATCH($L65,$B$61:$B$74,0),MATCH($BQ$60,$A$61:$H$61,0))*고양시_Modal_split!I$3 * 0.01</f>
        <v>1.2389768762757259E-2</v>
      </c>
      <c r="BX65" s="207">
        <f>INDEX($A$61:$H$74,MATCH($L65,$B$61:$B$74,0),MATCH($BQ$60,$A$61:$H$61,0))*고양시_Modal_split!J$3 * 0.01</f>
        <v>0.1356635112008385</v>
      </c>
      <c r="BY65" s="207">
        <f>INDEX($A$61:$H$74,MATCH($L65,$B$61:$B$74,0),MATCH($BQ$60,$A$61:$H$61,0))*고양시_Modal_split!K$3 * 0.01</f>
        <v>6.6851270302647082E-4</v>
      </c>
      <c r="BZ65" s="207">
        <f>INDEX($A$61:$H$74,MATCH($L65,$B$61:$B$74,0),MATCH($BQ$60,$A$61:$H$61,0))*고양시_Modal_split!L$3 * 0.01</f>
        <v>1.3459389087599614E-2</v>
      </c>
      <c r="CA65" s="207">
        <f>INDEX($A$61:$H$74,MATCH($L65,$B$61:$B$74,0),MATCH($BQ$60,$A$61:$H$61,0))*고양시_Modal_split!M$3 * 0.01</f>
        <v>1.0250528113072554E-3</v>
      </c>
      <c r="CB65" s="207">
        <f>INDEX($A$61:$H$74,MATCH($L65,$B$61:$B$74,0),MATCH($BQ$60,$A$61:$H$61,0))*고양시_Modal_split!N$3 * 0.01</f>
        <v>4.4567513535098062E-4</v>
      </c>
      <c r="CC65" s="207">
        <f>INDEX($A$61:$H$74,MATCH($L65,$B$61:$B$74,0),MATCH($BQ$60,$A$61:$H$61,0))*고양시_Modal_split!O$3 * 0.01</f>
        <v>8.0221524363176505E-4</v>
      </c>
      <c r="CD65" s="207">
        <f>INDEX($A$61:$H$74,MATCH($L65,$B$61:$B$74,0),MATCH($BQ$60,$A$61:$H$61,0))*고양시_Modal_split!P$3 * 0.01</f>
        <v>0.44567513535098058</v>
      </c>
      <c r="CE65" s="304">
        <f t="shared" si="31"/>
        <v>4.299312679519395</v>
      </c>
      <c r="CF65" s="304">
        <f t="shared" si="13"/>
        <v>722.13098327784712</v>
      </c>
      <c r="CG65" s="304">
        <f t="shared" si="14"/>
        <v>87.368175523090542</v>
      </c>
      <c r="CH65" s="304">
        <f t="shared" si="15"/>
        <v>140.80249025426019</v>
      </c>
      <c r="CI65" s="304">
        <f t="shared" si="16"/>
        <v>14.12631308984944</v>
      </c>
      <c r="CJ65" s="304">
        <f t="shared" si="17"/>
        <v>0.15354688141140696</v>
      </c>
      <c r="CK65" s="304">
        <f t="shared" si="18"/>
        <v>42.686033032371142</v>
      </c>
      <c r="CL65" s="304">
        <f t="shared" si="19"/>
        <v>467.39670701632286</v>
      </c>
      <c r="CM65" s="304">
        <f t="shared" si="20"/>
        <v>2.3032032211711049</v>
      </c>
      <c r="CN65" s="304">
        <f t="shared" si="21"/>
        <v>46.371158186244898</v>
      </c>
      <c r="CO65" s="304">
        <f t="shared" si="22"/>
        <v>3.5315782724623599</v>
      </c>
      <c r="CP65" s="304">
        <f t="shared" si="23"/>
        <v>1.5354688141140698</v>
      </c>
      <c r="CQ65" s="304">
        <f t="shared" si="24"/>
        <v>2.7638438654053252</v>
      </c>
      <c r="CR65" s="304">
        <f t="shared" si="25"/>
        <v>1535.4688141140698</v>
      </c>
      <c r="CS65" s="305">
        <f t="shared" si="32"/>
        <v>0</v>
      </c>
      <c r="CV65" s="265" t="s">
        <v>605</v>
      </c>
      <c r="CW65" s="265" t="s">
        <v>609</v>
      </c>
      <c r="CX65" s="267">
        <f>INDEX($M$60:$Z$74,MATCH($CW65,$L$60:$L$74,0),MATCH(CX$61,$M$61:$Z$61,0))/INDEX(고양시_재차인원!$D$4:$H$35,MATCH("고양시",고양시_재차인원!$B$4:$B$35,0),MATCH($CX$60,고양시_재차인원!$D$4:$H$4,0))</f>
        <v>70.663283755387468</v>
      </c>
      <c r="CY65" s="267">
        <f>INDEX($M$60:$Z$74,MATCH($CW65,$L$60:$L$74,0),MATCH(CY$61,$M$61:$Z$61,0))/INDEX(고양시_재차인원!$K$4:$O$20,MATCH("경기도",고양시_재차인원!$K$4:$K$20,0),MATCH($CY$61,고양시_재차인원!$K$4:$O$4,0))</f>
        <v>5.8451437260035981E-4</v>
      </c>
      <c r="CZ65" s="267">
        <f>INDEX($M$60:$Z$74,MATCH($CW65,$L$60:$L$74,0),MATCH(CZ$61,$M$61:$Z$61,0))/INDEX(고양시_재차인원!$K$4:$O$20,MATCH("경기도",고양시_재차인원!$K$4:$K$20,0),MATCH($CZ$61,고양시_재차인원!$K$4:$O$4,0))</f>
        <v>0.16249499558290001</v>
      </c>
      <c r="DA65" s="267">
        <f>INDEX($M$60:$Z$74,MATCH($CW65,$L$60:$L$74,0),MATCH(DA$61,$M$61:$Z$61,0))/INDEX(고양시_재차인원!$D$4:$H$35,MATCH("고양시",고양시_재차인원!$B$4:$B$35,0),MATCH($CX$60,고양시_재차인원!$D$4:$H$4,0))</f>
        <v>4.5375955122532465</v>
      </c>
      <c r="DB65" s="267">
        <f>INDEX($AA$60:$AN$74,MATCH($CW65,$L$60:$L$74,0),MATCH(DB$61,$AA$61:$AN$61,0))/INDEX(고양시_재차인원!$D$4:$H$35,MATCH("고양시",고양시_재차인원!$B$4:$B$35,0),MATCH($DB$60,고양시_재차인원!$D$4:$H$4,0))</f>
        <v>436.47203677117466</v>
      </c>
      <c r="DC65" s="267">
        <f>INDEX($AA$60:$AN$74,MATCH($CW65,$L$60:$L$74,0),MATCH(DC$61,$AA$61:$AN$61,0))/INDEX(고양시_재차인원!$K$4:$O$20,MATCH("경기도",고양시_재차인원!$K$4:$K$20,0),MATCH($DC$61,고양시_재차인원!$K$4:$O$4,0))</f>
        <v>4.5452617087314079E-3</v>
      </c>
      <c r="DD65" s="267">
        <f>INDEX($AA$60:$AN$74,MATCH($CW65,$L$60:$L$74,0),MATCH(DD$61,$AA$61:$AN$61,0))/INDEX(고양시_재차인원!$K$4:$O$20,MATCH("경기도",고양시_재차인원!$K$4:$K$20,0),MATCH($DD$61,고양시_재차인원!$K$4:$O$4,0))</f>
        <v>1.2635827550273315</v>
      </c>
      <c r="DE65" s="267">
        <f>INDEX($AA$60:$AN$74,MATCH($CW65,$L$60:$L$74,0),MATCH(DE$61,$AA$61:$AN$61,0))/INDEX(고양시_재차인원!$D$4:$H$35,MATCH("고양시",고양시_재차인원!$B$4:$B$35,0),MATCH($DB$60,고양시_재차인원!$D$4:$H$4,0))</f>
        <v>28.027759962767323</v>
      </c>
      <c r="DF65" s="267">
        <f>INDEX($AO$60:$BB$74,MATCH($CW65,$L$60:$L$74,0),MATCH(DF$61,$AO$61:$BB$61,0))/INDEX(고양시_재차인원!$D$4:$H$35,MATCH("고양시",고양시_재차인원!$B$4:$B$35,0),MATCH($DF$60,고양시_재차인원!$D$4:$H$4,0))</f>
        <v>20.983812137746099</v>
      </c>
      <c r="DG65" s="267">
        <f>INDEX($AO$60:$BB$74,MATCH($CW65,$L$60:$L$74,0),MATCH(DG$61,$AO$61:$BB$61,0))/INDEX(고양시_재차인원!$K$4:$O$20,MATCH("경기도",고양시_재차인원!$K$4:$K$20,0),MATCH($DG$61,고양시_재차인원!$K$4:$O$4,0))</f>
        <v>2.0147033017265829E-4</v>
      </c>
      <c r="DH65" s="267">
        <f>INDEX($AO$60:$BB$74,MATCH($CW65,$L$60:$L$74,0),MATCH(DH$61,$AO$61:$BB$61,0))/INDEX(고양시_재차인원!$K$4:$O$20,MATCH("경기도",고양시_재차인원!$K$4:$K$20,0),MATCH($DH$61,고양시_재차인원!$K$4:$O$4,0))</f>
        <v>5.6008751787999009E-2</v>
      </c>
      <c r="DI65" s="267">
        <f>INDEX($AO$60:$BB$74,MATCH($CW65,$L$60:$L$74,0),MATCH(DI$61,$AO$61:$BB$61,0))/INDEX(고양시_재차인원!$D$4:$H$35,MATCH("고양시",고양시_재차인원!$B$4:$B$35,0),MATCH($DF$60,고양시_재차인원!$D$4:$H$4,0))</f>
        <v>1.3474614640866087</v>
      </c>
      <c r="DJ65" s="267">
        <f>INDEX($BC$60:$BP$74,MATCH($CW65,$L$60:$L$74,0),MATCH(DJ$61,$BC$61:$BP$61,0))/INDEX(고양시_재차인원!$D$4:$H$35,MATCH("고양시",고양시_재차인원!$B$4:$B$35,0),MATCH($DJ$60,고양시_재차인원!$D$4:$H$4,0))</f>
        <v>5.4394727376011545E-2</v>
      </c>
      <c r="DK65" s="267">
        <f>INDEX($BC$60:$BP$74,MATCH($CW65,$L$60:$L$74,0),MATCH(DK$61,$BC$61:$BP$61,0))/INDEX(고양시_재차인원!$K$4:$O$20,MATCH("경기도",고양시_재차인원!$K$4:$K$20,0),MATCH($DK$61,고양시_재차인원!$K$4:$O$4,0))</f>
        <v>5.4636021741737577E-7</v>
      </c>
      <c r="DL65" s="267">
        <f>INDEX($BC$60:$BP$74,MATCH($CW65,$L$60:$L$74,0),MATCH(DL$61,$BC$61:$BP$61,0))/INDEX(고양시_재차인원!$K$4:$O$20,MATCH("경기도",고양시_재차인원!$K$4:$K$20,0),MATCH($DL$61,고양시_재차인원!$K$4:$O$4,0))</f>
        <v>1.5188814044203046E-4</v>
      </c>
      <c r="DM65" s="267">
        <f>INDEX($BC$60:$BP$74,MATCH($CW65,$L$60:$L$74,0),MATCH(DM$61,$BC$61:$BP$61,0))/INDEX(고양시_재차인원!$D$4:$H$35,MATCH("고양시",고양시_재차인원!$B$4:$B$35,0),MATCH($DJ$60,고양시_재차인원!$D$4:$H$4,0))</f>
        <v>3.4929210434946809E-3</v>
      </c>
      <c r="DN65" s="267">
        <f>INDEX($BQ$60:$CD$74,MATCH($CW65,$L$60:$L$74,0),MATCH(DN$61,$BQ$61:$CD$61,0))/INDEX(고양시_재차인원!$D$4:$H$35,MATCH("고양시",고양시_재차인원!$B$4:$B$35,0),MATCH($DN$60,고양시_재차인원!$D$4:$H$4,0))</f>
        <v>0.16635001282187792</v>
      </c>
      <c r="DO65" s="267">
        <f>INDEX($BQ$60:$CD$74,MATCH($CW65,$L$60:$L$74,0),MATCH(DO$61,$BQ$61:$CD$61,0))/INDEX(고양시_재차인원!$K$4:$O$20,MATCH("경기도",고양시_재차인원!$K$4:$K$20,0),MATCH($DO$61,고양시_재차인원!$K$4:$O$4,0))</f>
        <v>1.5480206160159105E-6</v>
      </c>
      <c r="DP65" s="267">
        <f>INDEX($BQ$60:$CD$74,MATCH($CW65,$L$60:$L$74,0),MATCH(DP$61,$BQ$61:$CD$61,0))/INDEX(고양시_재차인원!$K$4:$O$20,MATCH("경기도",고양시_재차인원!$K$4:$K$20,0),MATCH($DP$61,고양시_재차인원!$K$4:$O$4,0))</f>
        <v>4.3034973125242304E-4</v>
      </c>
      <c r="DQ65" s="267">
        <f>INDEX($BQ$60:$CD$74,MATCH($CW65,$L$60:$L$74,0),MATCH(DQ$61,$BQ$61:$CD$61,0))/INDEX(고양시_재차인원!$D$4:$H$35,MATCH("고양시",고양시_재차인원!$B$4:$B$35,0),MATCH($DN$60,고양시_재차인원!$D$4:$H$4,0))</f>
        <v>1.0682054831428265E-2</v>
      </c>
      <c r="DR65" s="270">
        <f t="shared" si="33"/>
        <v>528.33987740450607</v>
      </c>
      <c r="DS65" s="270">
        <f t="shared" si="26"/>
        <v>5.3333407923378583E-3</v>
      </c>
      <c r="DT65" s="270">
        <f t="shared" si="27"/>
        <v>1.482668740269925</v>
      </c>
      <c r="DU65" s="270">
        <f t="shared" si="28"/>
        <v>33.926991914982096</v>
      </c>
      <c r="DW65" s="278" t="s">
        <v>605</v>
      </c>
      <c r="DX65" s="278" t="s">
        <v>609</v>
      </c>
      <c r="DY65" s="281">
        <f t="shared" si="34"/>
        <v>562.26686931948814</v>
      </c>
      <c r="DZ65" s="281">
        <f t="shared" si="35"/>
        <v>1.4880020810622629</v>
      </c>
      <c r="EB65" s="278" t="s">
        <v>622</v>
      </c>
      <c r="EC65" s="278" t="s">
        <v>609</v>
      </c>
      <c r="ED65" s="309">
        <f t="shared" si="36"/>
        <v>660.27879221882165</v>
      </c>
      <c r="EE65" s="309">
        <f t="shared" si="29"/>
        <v>1.7473841524612674</v>
      </c>
      <c r="EK65" s="420" t="s">
        <v>622</v>
      </c>
      <c r="EL65" s="420" t="s">
        <v>619</v>
      </c>
      <c r="EM65" s="420" t="s">
        <v>76</v>
      </c>
      <c r="EN65" s="420">
        <v>38408.5</v>
      </c>
      <c r="EO65" s="420">
        <v>1</v>
      </c>
      <c r="EP65" s="421">
        <v>849004</v>
      </c>
      <c r="EQ65" s="422">
        <f t="shared" si="37"/>
        <v>767.64387555208475</v>
      </c>
      <c r="ER65" s="422">
        <f t="shared" si="38"/>
        <v>2.0315187443262932</v>
      </c>
      <c r="ES65">
        <v>0</v>
      </c>
      <c r="EU65" s="306" t="s">
        <v>622</v>
      </c>
      <c r="EV65" s="306" t="s">
        <v>199</v>
      </c>
      <c r="EW65" s="306" t="s">
        <v>76</v>
      </c>
      <c r="EX65" s="306">
        <v>38408.5</v>
      </c>
      <c r="EY65" s="306">
        <v>1</v>
      </c>
      <c r="EZ65" s="307">
        <v>849004</v>
      </c>
      <c r="FA65" s="308">
        <f t="shared" si="39"/>
        <v>767.64387555208475</v>
      </c>
      <c r="FB65" s="308">
        <f t="shared" si="30"/>
        <v>2.0315187443262932</v>
      </c>
      <c r="FD65" s="101"/>
      <c r="FE65" s="101"/>
      <c r="FF65" s="101"/>
      <c r="FG65" s="101"/>
      <c r="FH65" s="101"/>
      <c r="FI65" s="374"/>
      <c r="FJ65" s="404"/>
      <c r="FK65" s="404"/>
    </row>
    <row r="66" spans="1:167">
      <c r="A66" s="205" t="s">
        <v>12</v>
      </c>
      <c r="B66" s="205" t="s">
        <v>12</v>
      </c>
      <c r="C66" s="201">
        <f>$L33*KTDB_TripDistribution_2040!L$12</f>
        <v>20.865413010827304</v>
      </c>
      <c r="D66" s="201">
        <f>$L33*KTDB_TripDistribution_2040!M$12</f>
        <v>162.25223406067036</v>
      </c>
      <c r="E66" s="201">
        <f>$L33*KTDB_TripDistribution_2040!N$12</f>
        <v>7.191887566046943</v>
      </c>
      <c r="F66" s="201">
        <f>$L33*KTDB_TripDistribution_2040!O$12</f>
        <v>1.9503423907923815E-2</v>
      </c>
      <c r="G66" s="201">
        <f>$L33*KTDB_TripDistribution_2040!P$12</f>
        <v>5.5259701072451248E-2</v>
      </c>
      <c r="H66" s="201">
        <f>$L33*KTDB_TripDistribution_2040!Q$12</f>
        <v>190.38429776252497</v>
      </c>
      <c r="J66" s="230">
        <f t="shared" si="12"/>
        <v>190.38429776252499</v>
      </c>
      <c r="K66" s="206" t="s">
        <v>12</v>
      </c>
      <c r="L66" s="206" t="s">
        <v>12</v>
      </c>
      <c r="M66" s="206">
        <f>INDEX($A$61:$H$74,MATCH($L66,$B$61:$B$74,0),MATCH($M$60,$A$61:$H$61,0))*고양시_Modal_split!C$3 * 0.01</f>
        <v>5.8423156430316439E-2</v>
      </c>
      <c r="N66" s="206">
        <f>INDEX($A$61:$H$74,MATCH($L66,$B$61:$B$74,0),MATCH($M$60,$A$61:$H$61,0))*고양시_Modal_split!D$3 * 0.01</f>
        <v>9.8130037389920819</v>
      </c>
      <c r="O66" s="206">
        <f>INDEX($A$61:$H$74,MATCH($L66,$B$61:$B$74,0),MATCH($M$60,$A$61:$H$61,0))*고양시_Modal_split!E$3 * 0.01</f>
        <v>1.1872420003160735</v>
      </c>
      <c r="P66" s="206">
        <f>INDEX($A$61:$H$74,MATCH($L66,$B$61:$B$74,0),MATCH($M$60,$A$61:$H$61,0))*고양시_Modal_split!F$3 * 0.01</f>
        <v>1.9133583730928638</v>
      </c>
      <c r="Q66" s="206">
        <f>INDEX($A$61:$H$74,MATCH($L66,$B$61:$B$74,0),MATCH($M$60,$A$61:$H$61,0))*고양시_Modal_split!G$3 * 0.01</f>
        <v>0.19196179969961119</v>
      </c>
      <c r="R66" s="206">
        <f>INDEX($A$61:$H$74,MATCH($L66,$B$61:$B$74,0),MATCH($M$60,$A$61:$H$61,0))*고양시_Modal_split!H$3 * 0.01</f>
        <v>2.0865413010827307E-3</v>
      </c>
      <c r="S66" s="206">
        <f>INDEX($A$61:$H$74,MATCH($L66,$B$61:$B$74,0),MATCH($M$60,$A$61:$H$61,0))*고양시_Modal_split!I$3 * 0.01</f>
        <v>0.58005848170099905</v>
      </c>
      <c r="T66" s="206">
        <f>INDEX($A$61:$H$74,MATCH($L66,$B$61:$B$74,0),MATCH($M$60,$A$61:$H$61,0))*고양시_Modal_split!J$3 * 0.01</f>
        <v>6.3514317204958317</v>
      </c>
      <c r="U66" s="206">
        <f>INDEX($A$61:$H$74,MATCH($L66,$B$61:$B$74,0),MATCH($M$60,$A$61:$H$61,0))*고양시_Modal_split!K$3 * 0.01</f>
        <v>3.1298119516240959E-2</v>
      </c>
      <c r="V66" s="206">
        <f>INDEX($A$61:$H$74,MATCH($L66,$B$61:$B$74,0),MATCH($M$60,$A$61:$H$61,0))*고양시_Modal_split!L$3 * 0.01</f>
        <v>0.63013547292698457</v>
      </c>
      <c r="W66" s="206">
        <f>INDEX($A$61:$H$74,MATCH($L66,$B$61:$B$74,0),MATCH($M$60,$A$61:$H$61,0))*고양시_Modal_split!M$3 * 0.01</f>
        <v>4.7990449924902798E-2</v>
      </c>
      <c r="X66" s="206">
        <f>INDEX($A$61:$H$74,MATCH($L66,$B$61:$B$74,0),MATCH($M$60,$A$61:$H$61,0))*고양시_Modal_split!N$3 * 0.01</f>
        <v>2.0865413010827304E-2</v>
      </c>
      <c r="Y66" s="206">
        <f>INDEX($A$61:$H$74,MATCH($L66,$B$61:$B$74,0),MATCH($M$60,$A$61:$H$61,0))*고양시_Modal_split!O$3 * 0.01</f>
        <v>3.7557743419489149E-2</v>
      </c>
      <c r="Z66" s="209">
        <f>INDEX($A$61:$H$74,MATCH($L66,$B$61:$B$74,0),MATCH($M$60,$A$61:$H$61,0))*고양시_Modal_split!P$3 * 0.01</f>
        <v>20.865413010827307</v>
      </c>
      <c r="AA66" s="207">
        <f>INDEX($A$61:$H$74,MATCH($L66,$B$61:$B$74,0),MATCH($AA$60,$A$61:$H$61,0))*고양시_Modal_split!C$3 * 0.01</f>
        <v>0.45430625536987701</v>
      </c>
      <c r="AB66" s="207">
        <f>INDEX($A$61:$H$74,MATCH($L66,$B$61:$B$74,0),MATCH($AA$60,$A$61:$H$61,0))*고양시_Modal_split!D$3 * 0.01</f>
        <v>76.307225678733275</v>
      </c>
      <c r="AC66" s="207">
        <f>INDEX($A$61:$H$74,MATCH($L66,$B$61:$B$74,0),MATCH($AA$60,$A$61:$H$61,0))*고양시_Modal_split!E$3 * 0.01</f>
        <v>9.2321521180521433</v>
      </c>
      <c r="AD66" s="207">
        <f>INDEX($A$61:$H$74,MATCH($L66,$B$61:$B$74,0),MATCH($AA$60,$A$61:$H$61,0))*고양시_Modal_split!F$3 * 0.01</f>
        <v>14.878529863363472</v>
      </c>
      <c r="AE66" s="207">
        <f>INDEX($A$61:$H$74,MATCH($L66,$B$61:$B$74,0),MATCH($AA$60,$A$61:$H$61,0))*고양시_Modal_split!G$3 * 0.01</f>
        <v>1.4927205533581673</v>
      </c>
      <c r="AF66" s="207">
        <f>INDEX($A$61:$H$74,MATCH($L66,$B$61:$B$74,0),MATCH($AA$60,$A$61:$H$61,0))*고양시_Modal_split!H$3 * 0.01</f>
        <v>1.6225223406067038E-2</v>
      </c>
      <c r="AG66" s="207">
        <f>INDEX($A$61:$H$74,MATCH($L66,$B$61:$B$74,0),MATCH($AA$60,$A$61:$H$61,0))*고양시_Modal_split!I$3 * 0.01</f>
        <v>4.5106121068866356</v>
      </c>
      <c r="AH66" s="207">
        <f>INDEX($A$61:$H$74,MATCH($L66,$B$61:$B$74,0),MATCH($AA$60,$A$61:$H$61,0))*고양시_Modal_split!J$3 * 0.01</f>
        <v>49.389580048068055</v>
      </c>
      <c r="AI66" s="207">
        <f>INDEX($A$61:$H$74,MATCH($L66,$B$61:$B$74,0),MATCH($AA$60,$A$61:$H$61,0))*고양시_Modal_split!K$3 * 0.01</f>
        <v>0.24337835109100553</v>
      </c>
      <c r="AJ66" s="207">
        <f>INDEX($A$61:$H$74,MATCH($L66,$B$61:$B$74,0),MATCH($AA$60,$A$61:$H$61,0))*고양시_Modal_split!L$3 * 0.01</f>
        <v>4.9000174686322451</v>
      </c>
      <c r="AK66" s="207">
        <f>INDEX($A$61:$H$74,MATCH($L66,$B$61:$B$74,0),MATCH($AA$60,$A$61:$H$61,0))*고양시_Modal_split!M$3 * 0.01</f>
        <v>0.37318013833954183</v>
      </c>
      <c r="AL66" s="207">
        <f>INDEX($A$61:$H$74,MATCH($L66,$B$61:$B$74,0),MATCH($AA$60,$A$61:$H$61,0))*고양시_Modal_split!N$3 * 0.01</f>
        <v>0.16225223406067038</v>
      </c>
      <c r="AM66" s="207">
        <f>INDEX($A$61:$H$74,MATCH($L66,$B$61:$B$74,0),MATCH($AA$60,$A$61:$H$61,0))*고양시_Modal_split!O$3 * 0.01</f>
        <v>0.29205402130920666</v>
      </c>
      <c r="AN66" s="207">
        <f>INDEX($A$61:$H$74,MATCH($L66,$B$61:$B$74,0),MATCH($AA$60,$A$61:$H$61,0))*고양시_Modal_split!P$3 * 0.01</f>
        <v>162.25223406067036</v>
      </c>
      <c r="AO66" s="303">
        <f>INDEX($A$61:$H$74,MATCH($L66,$B$61:$B$74,0),MATCH($AO$60,$A$61:$H$61,0))*고양시_Modal_split!C$3 * 0.01</f>
        <v>2.013728518493144E-2</v>
      </c>
      <c r="AP66" s="303">
        <f>INDEX($A$61:$H$74,MATCH($L66,$B$61:$B$74,0),MATCH($AO$60,$A$61:$H$61,0))*고양시_Modal_split!D$3 * 0.01</f>
        <v>3.3823447223118777</v>
      </c>
      <c r="AQ66" s="303">
        <f>INDEX($A$61:$H$74,MATCH($L66,$B$61:$B$74,0),MATCH($AO$60,$A$61:$H$61,0))*고양시_Modal_split!E$3 * 0.01</f>
        <v>0.40921840250807101</v>
      </c>
      <c r="AR66" s="303">
        <f>INDEX($A$61:$H$74,MATCH($L66,$B$61:$B$74,0),MATCH($AO$60,$A$61:$H$61,0))*고양시_Modal_split!F$3 * 0.01</f>
        <v>0.65949608980650465</v>
      </c>
      <c r="AS66" s="303">
        <f>INDEX($A$61:$H$74,MATCH($L66,$B$61:$B$74,0),MATCH($AO$60,$A$61:$H$61,0))*고양시_Modal_split!G$3 * 0.01</f>
        <v>6.6165365607631865E-2</v>
      </c>
      <c r="AT66" s="303">
        <f>INDEX($A$61:$H$74,MATCH($L66,$B$61:$B$74,0),MATCH($AO$60,$A$61:$H$61,0))*고양시_Modal_split!H$3 * 0.01</f>
        <v>7.1918875660469442E-4</v>
      </c>
      <c r="AU66" s="303">
        <f>INDEX($A$61:$H$74,MATCH($L66,$B$61:$B$74,0),MATCH($AO$60,$A$61:$H$61,0))*고양시_Modal_split!I$3 * 0.01</f>
        <v>0.19993447433610503</v>
      </c>
      <c r="AV66" s="303">
        <f>INDEX($A$61:$H$74,MATCH($L66,$B$61:$B$74,0),MATCH($AO$60,$A$61:$H$61,0))*고양시_Modal_split!J$3 * 0.01</f>
        <v>2.1892105751046897</v>
      </c>
      <c r="AW66" s="303">
        <f>INDEX($A$61:$H$74,MATCH($L66,$B$61:$B$74,0),MATCH($AO$60,$A$61:$H$61,0))*고양시_Modal_split!K$3 * 0.01</f>
        <v>1.0787831349070414E-2</v>
      </c>
      <c r="AX66" s="303">
        <f>INDEX($A$61:$H$74,MATCH($L66,$B$61:$B$74,0),MATCH($AO$60,$A$61:$H$61,0))*고양시_Modal_split!L$3 * 0.01</f>
        <v>0.2171950044946177</v>
      </c>
      <c r="AY66" s="303">
        <f>INDEX($A$61:$H$74,MATCH($L66,$B$61:$B$74,0),MATCH($AO$60,$A$61:$H$61,0))*고양시_Modal_split!M$3 * 0.01</f>
        <v>1.6541341401907966E-2</v>
      </c>
      <c r="AZ66" s="303">
        <f>INDEX($A$61:$H$74,MATCH($L66,$B$61:$B$74,0),MATCH($AO$60,$A$61:$H$61,0))*고양시_Modal_split!N$3 * 0.01</f>
        <v>7.1918875660469438E-3</v>
      </c>
      <c r="BA66" s="207">
        <f>INDEX($A$61:$H$74,MATCH($L66,$B$61:$B$74,0),MATCH($AO$60,$A$61:$H$61,0))*고양시_Modal_split!O$3 * 0.01</f>
        <v>1.2945397618884498E-2</v>
      </c>
      <c r="BB66" s="207">
        <f>INDEX($A$61:$H$74,MATCH($L66,$B$61:$B$74,0),MATCH($AO$60,$A$61:$H$61,0))*고양시_Modal_split!P$3 * 0.01</f>
        <v>7.191887566046943</v>
      </c>
      <c r="BC66" s="207">
        <f>INDEX($A$61:$H$74,MATCH($L66,$B$61:$B$74,0),MATCH($BC$60,$A$61:$H$61,0))*고양시_Modal_split!C$3 * 0.01</f>
        <v>5.4609586942186678E-5</v>
      </c>
      <c r="BD66" s="207">
        <f>INDEX($A$61:$H$74,MATCH($L66,$B$61:$B$74,0),MATCH($BC$60,$A$61:$H$61,0))*고양시_Modal_split!D$3 * 0.01</f>
        <v>9.1724602638965699E-3</v>
      </c>
      <c r="BE66" s="207">
        <f>INDEX($A$61:$H$74,MATCH($L66,$B$61:$B$74,0),MATCH($BC$60,$A$61:$H$61,0))*고양시_Modal_split!E$3 * 0.01</f>
        <v>1.1097448203608649E-3</v>
      </c>
      <c r="BF66" s="207">
        <f>INDEX($A$61:$H$74,MATCH($L66,$B$61:$B$74,0),MATCH($BC$60,$A$61:$H$61,0))*고양시_Modal_split!F$3 * 0.01</f>
        <v>1.7884639723566137E-3</v>
      </c>
      <c r="BG66" s="207">
        <f>INDEX($A$61:$H$74,MATCH($L66,$B$61:$B$74,0),MATCH($BC$60,$A$61:$H$61,0))*고양시_Modal_split!G$3 * 0.01</f>
        <v>1.7943149995289909E-4</v>
      </c>
      <c r="BH66" s="207">
        <f>INDEX($A$61:$H$74,MATCH($L66,$B$61:$B$74,0),MATCH($BC$60,$A$61:$H$61,0))*고양시_Modal_split!H$3 * 0.01</f>
        <v>1.9503423907923816E-6</v>
      </c>
      <c r="BI66" s="207">
        <f>INDEX($A$61:$H$74,MATCH($L66,$B$61:$B$74,0),MATCH($BC$60,$A$61:$H$61,0))*고양시_Modal_split!I$3 * 0.01</f>
        <v>5.42195184640282E-4</v>
      </c>
      <c r="BJ66" s="207">
        <f>INDEX($A$61:$H$74,MATCH($L66,$B$61:$B$74,0),MATCH($BC$60,$A$61:$H$61,0))*고양시_Modal_split!J$3 * 0.01</f>
        <v>5.9368422375720101E-3</v>
      </c>
      <c r="BK66" s="207">
        <f>INDEX($A$61:$H$74,MATCH($L66,$B$61:$B$74,0),MATCH($BC$60,$A$61:$H$61,0))*고양시_Modal_split!K$3 * 0.01</f>
        <v>2.9255135861885724E-5</v>
      </c>
      <c r="BL66" s="207">
        <f>INDEX($A$61:$H$74,MATCH($L66,$B$61:$B$74,0),MATCH($BC$60,$A$61:$H$61,0))*고양시_Modal_split!L$3 * 0.01</f>
        <v>5.890034020192992E-4</v>
      </c>
      <c r="BM66" s="207">
        <f>INDEX($A$61:$H$74,MATCH($L66,$B$61:$B$74,0),MATCH($BC$60,$A$61:$H$61,0))*고양시_Modal_split!M$3 * 0.01</f>
        <v>4.4857874988224773E-5</v>
      </c>
      <c r="BN66" s="207">
        <f>INDEX($A$61:$H$74,MATCH($L66,$B$61:$B$74,0),MATCH($BC$60,$A$61:$H$61,0))*고양시_Modal_split!N$3 * 0.01</f>
        <v>1.9503423907923818E-5</v>
      </c>
      <c r="BO66" s="207">
        <f>INDEX($A$61:$H$74,MATCH($L66,$B$61:$B$74,0),MATCH($BC$60,$A$61:$H$61,0))*고양시_Modal_split!O$3 * 0.01</f>
        <v>3.5106163034262867E-5</v>
      </c>
      <c r="BP66" s="207">
        <f>INDEX($A$61:$H$74,MATCH($L66,$B$61:$B$74,0),MATCH($BC$60,$A$61:$H$61,0))*고양시_Modal_split!P$3 * 0.01</f>
        <v>1.9503423907923815E-2</v>
      </c>
      <c r="BQ66" s="207">
        <f>INDEX($A$61:$H$74,MATCH($L66,$B$61:$B$74,0),MATCH($BQ$60,$A$61:$H$61,0))*고양시_Modal_split!C$3 * 0.01</f>
        <v>1.5472716300286347E-4</v>
      </c>
      <c r="BR66" s="207">
        <f>INDEX($A$61:$H$74,MATCH($L66,$B$61:$B$74,0),MATCH($BQ$60,$A$61:$H$61,0))*고양시_Modal_split!D$3 * 0.01</f>
        <v>2.5988637414373822E-2</v>
      </c>
      <c r="BS66" s="207">
        <f>INDEX($A$61:$H$74,MATCH($L66,$B$61:$B$74,0),MATCH($BQ$60,$A$61:$H$61,0))*고양시_Modal_split!E$3 * 0.01</f>
        <v>3.1442769910224756E-3</v>
      </c>
      <c r="BT66" s="207">
        <f>INDEX($A$61:$H$74,MATCH($L66,$B$61:$B$74,0),MATCH($BQ$60,$A$61:$H$61,0))*고양시_Modal_split!F$3 * 0.01</f>
        <v>5.0673145883437798E-3</v>
      </c>
      <c r="BU66" s="207">
        <f>INDEX($A$61:$H$74,MATCH($L66,$B$61:$B$74,0),MATCH($BQ$60,$A$61:$H$61,0))*고양시_Modal_split!G$3 * 0.01</f>
        <v>5.0838924986655143E-4</v>
      </c>
      <c r="BV66" s="207">
        <f>INDEX($A$61:$H$74,MATCH($L66,$B$61:$B$74,0),MATCH($BQ$60,$A$61:$H$61,0))*고양시_Modal_split!H$3 * 0.01</f>
        <v>5.5259701072451248E-6</v>
      </c>
      <c r="BW66" s="207">
        <f>INDEX($A$61:$H$74,MATCH($L66,$B$61:$B$74,0),MATCH($BQ$60,$A$61:$H$61,0))*고양시_Modal_split!I$3 * 0.01</f>
        <v>1.5362196898141445E-3</v>
      </c>
      <c r="BX66" s="207">
        <f>INDEX($A$61:$H$74,MATCH($L66,$B$61:$B$74,0),MATCH($BQ$60,$A$61:$H$61,0))*고양시_Modal_split!J$3 * 0.01</f>
        <v>1.6821053006454163E-2</v>
      </c>
      <c r="BY66" s="207">
        <f>INDEX($A$61:$H$74,MATCH($L66,$B$61:$B$74,0),MATCH($BQ$60,$A$61:$H$61,0))*고양시_Modal_split!K$3 * 0.01</f>
        <v>8.2889551608676866E-5</v>
      </c>
      <c r="BZ66" s="207">
        <f>INDEX($A$61:$H$74,MATCH($L66,$B$61:$B$74,0),MATCH($BQ$60,$A$61:$H$61,0))*고양시_Modal_split!L$3 * 0.01</f>
        <v>1.6688429723880278E-3</v>
      </c>
      <c r="CA66" s="207">
        <f>INDEX($A$61:$H$74,MATCH($L66,$B$61:$B$74,0),MATCH($BQ$60,$A$61:$H$61,0))*고양시_Modal_split!M$3 * 0.01</f>
        <v>1.2709731246663786E-4</v>
      </c>
      <c r="CB66" s="207">
        <f>INDEX($A$61:$H$74,MATCH($L66,$B$61:$B$74,0),MATCH($BQ$60,$A$61:$H$61,0))*고양시_Modal_split!N$3 * 0.01</f>
        <v>5.5259701072451253E-5</v>
      </c>
      <c r="CC66" s="207">
        <f>INDEX($A$61:$H$74,MATCH($L66,$B$61:$B$74,0),MATCH($BQ$60,$A$61:$H$61,0))*고양시_Modal_split!O$3 * 0.01</f>
        <v>9.9467461930412244E-5</v>
      </c>
      <c r="CD66" s="207">
        <f>INDEX($A$61:$H$74,MATCH($L66,$B$61:$B$74,0),MATCH($BQ$60,$A$61:$H$61,0))*고양시_Modal_split!P$3 * 0.01</f>
        <v>5.5259701072451248E-2</v>
      </c>
      <c r="CE66" s="304">
        <f t="shared" si="31"/>
        <v>0.53307603373506995</v>
      </c>
      <c r="CF66" s="304">
        <f t="shared" si="13"/>
        <v>89.537735237715509</v>
      </c>
      <c r="CG66" s="304">
        <f t="shared" si="14"/>
        <v>10.832866542687672</v>
      </c>
      <c r="CH66" s="304">
        <f t="shared" si="15"/>
        <v>17.458240104823545</v>
      </c>
      <c r="CI66" s="304">
        <f t="shared" si="16"/>
        <v>1.7515355394152299</v>
      </c>
      <c r="CJ66" s="304">
        <f t="shared" si="17"/>
        <v>1.9038429776252502E-2</v>
      </c>
      <c r="CK66" s="304">
        <f t="shared" si="18"/>
        <v>5.292683477798195</v>
      </c>
      <c r="CL66" s="304">
        <f t="shared" si="19"/>
        <v>57.952980238912602</v>
      </c>
      <c r="CM66" s="304">
        <f t="shared" si="20"/>
        <v>0.28557644664378745</v>
      </c>
      <c r="CN66" s="304">
        <f t="shared" si="21"/>
        <v>5.7496057924282553</v>
      </c>
      <c r="CO66" s="304">
        <f t="shared" si="22"/>
        <v>0.43788388485380747</v>
      </c>
      <c r="CP66" s="304">
        <f t="shared" si="23"/>
        <v>0.190384297762525</v>
      </c>
      <c r="CQ66" s="304">
        <f t="shared" si="24"/>
        <v>0.34269173597254499</v>
      </c>
      <c r="CR66" s="304">
        <f t="shared" si="25"/>
        <v>190.38429776252499</v>
      </c>
      <c r="CS66" s="305">
        <f t="shared" si="32"/>
        <v>0</v>
      </c>
      <c r="CV66" s="265" t="s">
        <v>12</v>
      </c>
      <c r="CW66" s="265" t="s">
        <v>12</v>
      </c>
      <c r="CX66" s="267">
        <f>INDEX($M$60:$Z$74,MATCH($CW66,$L$60:$L$74,0),MATCH(CX$61,$M$61:$Z$61,0))/INDEX(고양시_재차인원!$D$4:$H$35,MATCH("고양시",고양시_재차인원!$B$4:$B$35,0),MATCH($CX$60,고양시_재차인원!$D$4:$H$4,0))</f>
        <v>8.7616104812429292</v>
      </c>
      <c r="CY66" s="267">
        <f>INDEX($M$60:$Z$74,MATCH($CW66,$L$60:$L$74,0),MATCH(CY$61,$M$61:$Z$61,0))/INDEX(고양시_재차인원!$K$4:$O$20,MATCH("경기도",고양시_재차인원!$K$4:$K$20,0),MATCH($CY$61,고양시_재차인원!$K$4:$O$4,0))</f>
        <v>7.2474515494363691E-5</v>
      </c>
      <c r="CZ66" s="267">
        <f>INDEX($M$60:$Z$74,MATCH($CW66,$L$60:$L$74,0),MATCH(CZ$61,$M$61:$Z$61,0))/INDEX(고양시_재차인원!$K$4:$O$20,MATCH("경기도",고양시_재차인원!$K$4:$K$20,0),MATCH($CZ$61,고양시_재차인원!$K$4:$O$4,0))</f>
        <v>2.0147915307433106E-2</v>
      </c>
      <c r="DA66" s="267">
        <f>INDEX($M$60:$Z$74,MATCH($CW66,$L$60:$L$74,0),MATCH(DA$61,$M$61:$Z$61,0))/INDEX(고양시_재차인원!$D$4:$H$35,MATCH("고양시",고양시_재차인원!$B$4:$B$35,0),MATCH($CX$60,고양시_재차인원!$D$4:$H$4,0))</f>
        <v>0.56262095797052192</v>
      </c>
      <c r="DB66" s="267">
        <f>INDEX($AA$60:$AN$74,MATCH($CW66,$L$60:$L$74,0),MATCH(DB$61,$AA$61:$AN$61,0))/INDEX(고양시_재차인원!$D$4:$H$35,MATCH("고양시",고양시_재차인원!$B$4:$B$35,0),MATCH($DB$60,고양시_재차인원!$D$4:$H$4,0))</f>
        <v>54.118599772151263</v>
      </c>
      <c r="DC66" s="267">
        <f>INDEX($AA$60:$AN$74,MATCH($CW66,$L$60:$L$74,0),MATCH(DC$61,$AA$61:$AN$61,0))/INDEX(고양시_재차인원!$K$4:$O$20,MATCH("경기도",고양시_재차인원!$K$4:$K$20,0),MATCH($DC$61,고양시_재차인원!$K$4:$O$4,0))</f>
        <v>5.6357149725832015E-4</v>
      </c>
      <c r="DD66" s="267">
        <f>INDEX($AA$60:$AN$74,MATCH($CW66,$L$60:$L$74,0),MATCH(DD$61,$AA$61:$AN$61,0))/INDEX(고양시_재차인원!$K$4:$O$20,MATCH("경기도",고양시_재차인원!$K$4:$K$20,0),MATCH($DD$61,고양시_재차인원!$K$4:$O$4,0))</f>
        <v>0.15667287623781298</v>
      </c>
      <c r="DE66" s="267">
        <f>INDEX($AA$60:$AN$74,MATCH($CW66,$L$60:$L$74,0),MATCH(DE$61,$AA$61:$AN$61,0))/INDEX(고양시_재차인원!$D$4:$H$35,MATCH("고양시",고양시_재차인원!$B$4:$B$35,0),MATCH($DB$60,고양시_재차인원!$D$4:$H$4,0))</f>
        <v>3.4751896940654223</v>
      </c>
      <c r="DF66" s="267">
        <f>INDEX($AO$60:$BB$74,MATCH($CW66,$L$60:$L$74,0),MATCH(DF$61,$AO$61:$BB$61,0))/INDEX(고양시_재차인원!$D$4:$H$35,MATCH("고양시",고양시_재차인원!$B$4:$B$35,0),MATCH($DF$60,고양시_재차인원!$D$4:$H$4,0))</f>
        <v>2.6018036325475982</v>
      </c>
      <c r="DG66" s="267">
        <f>INDEX($AO$60:$BB$74,MATCH($CW66,$L$60:$L$74,0),MATCH(DG$61,$AO$61:$BB$61,0))/INDEX(고양시_재차인원!$K$4:$O$20,MATCH("경기도",고양시_재차인원!$K$4:$K$20,0),MATCH($DG$61,고양시_재차인원!$K$4:$O$4,0))</f>
        <v>2.4980505613223149E-5</v>
      </c>
      <c r="DH66" s="267">
        <f>INDEX($AO$60:$BB$74,MATCH($CW66,$L$60:$L$74,0),MATCH(DH$61,$AO$61:$BB$61,0))/INDEX(고양시_재차인원!$K$4:$O$20,MATCH("경기도",고양시_재차인원!$K$4:$K$20,0),MATCH($DH$61,고양시_재차인원!$K$4:$O$4,0))</f>
        <v>6.9445805604760351E-3</v>
      </c>
      <c r="DI66" s="267">
        <f>INDEX($AO$60:$BB$74,MATCH($CW66,$L$60:$L$74,0),MATCH(DI$61,$AO$61:$BB$61,0))/INDEX(고양시_재차인원!$D$4:$H$35,MATCH("고양시",고양시_재차인원!$B$4:$B$35,0),MATCH($DF$60,고양시_재차인원!$D$4:$H$4,0))</f>
        <v>0.16707308038047516</v>
      </c>
      <c r="DJ66" s="267">
        <f>INDEX($BC$60:$BP$74,MATCH($CW66,$L$60:$L$74,0),MATCH(DJ$61,$BC$61:$BP$61,0))/INDEX(고양시_재차인원!$D$4:$H$35,MATCH("고양시",고양시_재차인원!$B$4:$B$35,0),MATCH($DJ$60,고양시_재차인원!$D$4:$H$4,0))</f>
        <v>6.7444560763945359E-3</v>
      </c>
      <c r="DK66" s="267">
        <f>INDEX($BC$60:$BP$74,MATCH($CW66,$L$60:$L$74,0),MATCH(DK$61,$BC$61:$BP$61,0))/INDEX(고양시_재차인원!$K$4:$O$20,MATCH("경기도",고양시_재차인원!$K$4:$K$20,0),MATCH($DK$61,고양시_재차인원!$K$4:$O$4,0))</f>
        <v>6.7743744035859033E-8</v>
      </c>
      <c r="DL66" s="267">
        <f>INDEX($BC$60:$BP$74,MATCH($CW66,$L$60:$L$74,0),MATCH(DL$61,$BC$61:$BP$61,0))/INDEX(고양시_재차인원!$K$4:$O$20,MATCH("경기도",고양시_재차인원!$K$4:$K$20,0),MATCH($DL$61,고양시_재차인원!$K$4:$O$4,0))</f>
        <v>1.8832760841968809E-5</v>
      </c>
      <c r="DM66" s="267">
        <f>INDEX($BC$60:$BP$74,MATCH($CW66,$L$60:$L$74,0),MATCH(DM$61,$BC$61:$BP$61,0))/INDEX(고양시_재차인원!$D$4:$H$35,MATCH("고양시",고양시_재차인원!$B$4:$B$35,0),MATCH($DJ$60,고양시_재차인원!$D$4:$H$4,0))</f>
        <v>4.3309073677889643E-4</v>
      </c>
      <c r="DN66" s="267">
        <f>INDEX($BQ$60:$CD$74,MATCH($CW66,$L$60:$L$74,0),MATCH(DN$61,$BQ$61:$CD$61,0))/INDEX(고양시_재차인원!$D$4:$H$35,MATCH("고양시",고양시_재차인원!$B$4:$B$35,0),MATCH($DN$60,고양시_재차인원!$D$4:$H$4,0))</f>
        <v>2.0625902709820492E-2</v>
      </c>
      <c r="DO66" s="267">
        <f>INDEX($BQ$60:$CD$74,MATCH($CW66,$L$60:$L$74,0),MATCH(DO$61,$BQ$61:$CD$61,0))/INDEX(고양시_재차인원!$K$4:$O$20,MATCH("경기도",고양시_재차인원!$K$4:$K$20,0),MATCH($DO$61,고양시_재차인원!$K$4:$O$4,0))</f>
        <v>1.9194060810160212E-7</v>
      </c>
      <c r="DP66" s="267">
        <f>INDEX($BQ$60:$CD$74,MATCH($CW66,$L$60:$L$74,0),MATCH(DP$61,$BQ$61:$CD$61,0))/INDEX(고양시_재차인원!$K$4:$O$20,MATCH("경기도",고양시_재차인원!$K$4:$K$20,0),MATCH($DP$61,고양시_재차인원!$K$4:$O$4,0))</f>
        <v>5.3359489052245385E-5</v>
      </c>
      <c r="DQ66" s="267">
        <f>INDEX($BQ$60:$CD$74,MATCH($CW66,$L$60:$L$74,0),MATCH(DQ$61,$BQ$61:$CD$61,0))/INDEX(고양시_재차인원!$D$4:$H$35,MATCH("고양시",고양시_재차인원!$B$4:$B$35,0),MATCH($DN$60,고양시_재차인원!$D$4:$H$4,0))</f>
        <v>1.3244785495143078E-3</v>
      </c>
      <c r="DR66" s="270">
        <f t="shared" si="33"/>
        <v>65.509384244728011</v>
      </c>
      <c r="DS66" s="270">
        <f t="shared" si="26"/>
        <v>6.6128620271804436E-4</v>
      </c>
      <c r="DT66" s="270">
        <f t="shared" si="27"/>
        <v>0.18383756435561632</v>
      </c>
      <c r="DU66" s="270">
        <f t="shared" si="28"/>
        <v>4.206641301702712</v>
      </c>
      <c r="DW66" s="278" t="s">
        <v>12</v>
      </c>
      <c r="DX66" s="278" t="s">
        <v>12</v>
      </c>
      <c r="DY66" s="281">
        <f t="shared" si="34"/>
        <v>69.716025546430728</v>
      </c>
      <c r="DZ66" s="281">
        <f t="shared" si="35"/>
        <v>0.18449885055833437</v>
      </c>
      <c r="EB66" s="278" t="s">
        <v>12</v>
      </c>
      <c r="EC66" s="278" t="s">
        <v>12</v>
      </c>
      <c r="ED66" s="281">
        <f>DY66</f>
        <v>69.716025546430728</v>
      </c>
      <c r="EE66" s="281">
        <f t="shared" ref="EE66:EE67" si="40">DZ66</f>
        <v>0.18449885055833437</v>
      </c>
      <c r="EK66" s="420" t="s">
        <v>622</v>
      </c>
      <c r="EL66" s="420" t="s">
        <v>620</v>
      </c>
      <c r="EM66" s="420" t="s">
        <v>220</v>
      </c>
      <c r="EN66" s="420">
        <v>31514.0893</v>
      </c>
      <c r="EO66" s="420">
        <v>1</v>
      </c>
      <c r="EP66" s="421">
        <v>849005</v>
      </c>
      <c r="EQ66" s="422">
        <f t="shared" si="37"/>
        <v>629.17395669942425</v>
      </c>
      <c r="ER66" s="422">
        <f t="shared" si="38"/>
        <v>1.665067262547443</v>
      </c>
      <c r="ES66">
        <v>0</v>
      </c>
      <c r="EU66" s="306" t="s">
        <v>622</v>
      </c>
      <c r="EV66" s="306" t="s">
        <v>200</v>
      </c>
      <c r="EW66" s="306" t="s">
        <v>220</v>
      </c>
      <c r="EX66" s="306">
        <v>31514.0893</v>
      </c>
      <c r="EY66" s="306">
        <v>1</v>
      </c>
      <c r="EZ66" s="307">
        <v>849005</v>
      </c>
      <c r="FA66" s="308">
        <f t="shared" si="39"/>
        <v>629.17395669942425</v>
      </c>
      <c r="FB66" s="308">
        <f t="shared" si="30"/>
        <v>1.665067262547443</v>
      </c>
      <c r="FD66" s="101"/>
      <c r="FE66" s="101"/>
      <c r="FF66" s="101"/>
      <c r="FG66" s="101"/>
      <c r="FH66" s="101"/>
      <c r="FI66" s="374"/>
      <c r="FJ66" s="404"/>
      <c r="FK66" s="404"/>
    </row>
    <row r="67" spans="1:167" ht="25">
      <c r="A67" s="205" t="s">
        <v>13</v>
      </c>
      <c r="B67" s="205" t="s">
        <v>13</v>
      </c>
      <c r="C67" s="201">
        <f>$L34*KTDB_TripDistribution_2040!L$12</f>
        <v>31.012280128961194</v>
      </c>
      <c r="D67" s="201">
        <f>$L34*KTDB_TripDistribution_2040!M$12</f>
        <v>241.15562589766242</v>
      </c>
      <c r="E67" s="201">
        <f>$L34*KTDB_TripDistribution_2040!N$12</f>
        <v>10.689308270030613</v>
      </c>
      <c r="F67" s="201">
        <f>$L34*KTDB_TripDistribution_2040!O$12</f>
        <v>2.8987954630591353E-2</v>
      </c>
      <c r="G67" s="201">
        <f>$L34*KTDB_TripDistribution_2040!P$12</f>
        <v>8.213253812000948E-2</v>
      </c>
      <c r="H67" s="201">
        <f>$L34*KTDB_TripDistribution_2040!Q$12</f>
        <v>282.96833478940482</v>
      </c>
      <c r="K67" s="206" t="s">
        <v>13</v>
      </c>
      <c r="L67" s="206" t="s">
        <v>13</v>
      </c>
      <c r="M67" s="206">
        <f>INDEX($A$61:$H$74,MATCH($L67,$B$61:$B$74,0),MATCH($M$60,$A$61:$H$61,0))*고양시_Modal_split!C$3 * 0.01</f>
        <v>8.6834384361091338E-2</v>
      </c>
      <c r="N67" s="206">
        <f>INDEX($A$61:$H$74,MATCH($L67,$B$61:$B$74,0),MATCH($M$60,$A$61:$H$61,0))*고양시_Modal_split!D$3 * 0.01</f>
        <v>14.58507534465045</v>
      </c>
      <c r="O67" s="206">
        <f>INDEX($A$61:$H$74,MATCH($L67,$B$61:$B$74,0),MATCH($M$60,$A$61:$H$61,0))*고양시_Modal_split!E$3 * 0.01</f>
        <v>1.7645987393378917</v>
      </c>
      <c r="P67" s="206">
        <f>INDEX($A$61:$H$74,MATCH($L67,$B$61:$B$74,0),MATCH($M$60,$A$61:$H$61,0))*고양시_Modal_split!F$3 * 0.01</f>
        <v>2.8438260878257418</v>
      </c>
      <c r="Q67" s="206">
        <f>INDEX($A$61:$H$74,MATCH($L67,$B$61:$B$74,0),MATCH($M$60,$A$61:$H$61,0))*고양시_Modal_split!G$3 * 0.01</f>
        <v>0.285312977186443</v>
      </c>
      <c r="R67" s="206">
        <f>INDEX($A$61:$H$74,MATCH($L67,$B$61:$B$74,0),MATCH($M$60,$A$61:$H$61,0))*고양시_Modal_split!H$3 * 0.01</f>
        <v>3.1012280128961196E-3</v>
      </c>
      <c r="S67" s="206">
        <f>INDEX($A$61:$H$74,MATCH($L67,$B$61:$B$74,0),MATCH($M$60,$A$61:$H$61,0))*고양시_Modal_split!I$3 * 0.01</f>
        <v>0.86214138758512127</v>
      </c>
      <c r="T67" s="206">
        <f>INDEX($A$61:$H$74,MATCH($L67,$B$61:$B$74,0),MATCH($M$60,$A$61:$H$61,0))*고양시_Modal_split!J$3 * 0.01</f>
        <v>9.4401380712557881</v>
      </c>
      <c r="U67" s="206">
        <f>INDEX($A$61:$H$74,MATCH($L67,$B$61:$B$74,0),MATCH($M$60,$A$61:$H$61,0))*고양시_Modal_split!K$3 * 0.01</f>
        <v>4.6518420193441788E-2</v>
      </c>
      <c r="V67" s="206">
        <f>INDEX($A$61:$H$74,MATCH($L67,$B$61:$B$74,0),MATCH($M$60,$A$61:$H$61,0))*고양시_Modal_split!L$3 * 0.01</f>
        <v>0.93657085989462807</v>
      </c>
      <c r="W67" s="206">
        <f>INDEX($A$61:$H$74,MATCH($L67,$B$61:$B$74,0),MATCH($M$60,$A$61:$H$61,0))*고양시_Modal_split!M$3 * 0.01</f>
        <v>7.1328244296610749E-2</v>
      </c>
      <c r="X67" s="206">
        <f>INDEX($A$61:$H$74,MATCH($L67,$B$61:$B$74,0),MATCH($M$60,$A$61:$H$61,0))*고양시_Modal_split!N$3 * 0.01</f>
        <v>3.1012280128961196E-2</v>
      </c>
      <c r="Y67" s="206">
        <f>INDEX($A$61:$H$74,MATCH($L67,$B$61:$B$74,0),MATCH($M$60,$A$61:$H$61,0))*고양시_Modal_split!O$3 * 0.01</f>
        <v>5.5822104232130146E-2</v>
      </c>
      <c r="Z67" s="209">
        <f>INDEX($A$61:$H$74,MATCH($L67,$B$61:$B$74,0),MATCH($M$60,$A$61:$H$61,0))*고양시_Modal_split!P$3 * 0.01</f>
        <v>31.012280128961194</v>
      </c>
      <c r="AA67" s="207">
        <f>INDEX($A$61:$H$74,MATCH($L67,$B$61:$B$74,0),MATCH($AA$60,$A$61:$H$61,0))*고양시_Modal_split!C$3 * 0.01</f>
        <v>0.6752357525134548</v>
      </c>
      <c r="AB67" s="207">
        <f>INDEX($A$61:$H$74,MATCH($L67,$B$61:$B$74,0),MATCH($AA$60,$A$61:$H$61,0))*고양시_Modal_split!D$3 * 0.01</f>
        <v>113.41549085967064</v>
      </c>
      <c r="AC67" s="207">
        <f>INDEX($A$61:$H$74,MATCH($L67,$B$61:$B$74,0),MATCH($AA$60,$A$61:$H$61,0))*고양시_Modal_split!E$3 * 0.01</f>
        <v>13.72175511357699</v>
      </c>
      <c r="AD67" s="207">
        <f>INDEX($A$61:$H$74,MATCH($L67,$B$61:$B$74,0),MATCH($AA$60,$A$61:$H$61,0))*고양시_Modal_split!F$3 * 0.01</f>
        <v>22.113970894815644</v>
      </c>
      <c r="AE67" s="207">
        <f>INDEX($A$61:$H$74,MATCH($L67,$B$61:$B$74,0),MATCH($AA$60,$A$61:$H$61,0))*고양시_Modal_split!G$3 * 0.01</f>
        <v>2.218631758258494</v>
      </c>
      <c r="AF67" s="207">
        <f>INDEX($A$61:$H$74,MATCH($L67,$B$61:$B$74,0),MATCH($AA$60,$A$61:$H$61,0))*고양시_Modal_split!H$3 * 0.01</f>
        <v>2.4115562589766243E-2</v>
      </c>
      <c r="AG67" s="207">
        <f>INDEX($A$61:$H$74,MATCH($L67,$B$61:$B$74,0),MATCH($AA$60,$A$61:$H$61,0))*고양시_Modal_split!I$3 * 0.01</f>
        <v>6.7041263999550145</v>
      </c>
      <c r="AH67" s="207">
        <f>INDEX($A$61:$H$74,MATCH($L67,$B$61:$B$74,0),MATCH($AA$60,$A$61:$H$61,0))*고양시_Modal_split!J$3 * 0.01</f>
        <v>73.40777252324844</v>
      </c>
      <c r="AI67" s="207">
        <f>INDEX($A$61:$H$74,MATCH($L67,$B$61:$B$74,0),MATCH($AA$60,$A$61:$H$61,0))*고양시_Modal_split!K$3 * 0.01</f>
        <v>0.36173343884649362</v>
      </c>
      <c r="AJ67" s="207">
        <f>INDEX($A$61:$H$74,MATCH($L67,$B$61:$B$74,0),MATCH($AA$60,$A$61:$H$61,0))*고양시_Modal_split!L$3 * 0.01</f>
        <v>7.2828999021094045</v>
      </c>
      <c r="AK67" s="207">
        <f>INDEX($A$61:$H$74,MATCH($L67,$B$61:$B$74,0),MATCH($AA$60,$A$61:$H$61,0))*고양시_Modal_split!M$3 * 0.01</f>
        <v>0.5546579395646235</v>
      </c>
      <c r="AL67" s="207">
        <f>INDEX($A$61:$H$74,MATCH($L67,$B$61:$B$74,0),MATCH($AA$60,$A$61:$H$61,0))*고양시_Modal_split!N$3 * 0.01</f>
        <v>0.24115562589766243</v>
      </c>
      <c r="AM67" s="207">
        <f>INDEX($A$61:$H$74,MATCH($L67,$B$61:$B$74,0),MATCH($AA$60,$A$61:$H$61,0))*고양시_Modal_split!O$3 * 0.01</f>
        <v>0.43408012661579237</v>
      </c>
      <c r="AN67" s="207">
        <f>INDEX($A$61:$H$74,MATCH($L67,$B$61:$B$74,0),MATCH($AA$60,$A$61:$H$61,0))*고양시_Modal_split!P$3 * 0.01</f>
        <v>241.15562589766245</v>
      </c>
      <c r="AO67" s="303">
        <f>INDEX($A$61:$H$74,MATCH($L67,$B$61:$B$74,0),MATCH($AO$60,$A$61:$H$61,0))*고양시_Modal_split!C$3 * 0.01</f>
        <v>2.9930063156085717E-2</v>
      </c>
      <c r="AP67" s="303">
        <f>INDEX($A$61:$H$74,MATCH($L67,$B$61:$B$74,0),MATCH($AO$60,$A$61:$H$61,0))*고양시_Modal_split!D$3 * 0.01</f>
        <v>5.0271816793953974</v>
      </c>
      <c r="AQ67" s="303">
        <f>INDEX($A$61:$H$74,MATCH($L67,$B$61:$B$74,0),MATCH($AO$60,$A$61:$H$61,0))*고양시_Modal_split!E$3 * 0.01</f>
        <v>0.60822164056474193</v>
      </c>
      <c r="AR67" s="303">
        <f>INDEX($A$61:$H$74,MATCH($L67,$B$61:$B$74,0),MATCH($AO$60,$A$61:$H$61,0))*고양시_Modal_split!F$3 * 0.01</f>
        <v>0.98020956836180728</v>
      </c>
      <c r="AS67" s="303">
        <f>INDEX($A$61:$H$74,MATCH($L67,$B$61:$B$74,0),MATCH($AO$60,$A$61:$H$61,0))*고양시_Modal_split!G$3 * 0.01</f>
        <v>9.8341636084281633E-2</v>
      </c>
      <c r="AT67" s="303">
        <f>INDEX($A$61:$H$74,MATCH($L67,$B$61:$B$74,0),MATCH($AO$60,$A$61:$H$61,0))*고양시_Modal_split!H$3 * 0.01</f>
        <v>1.0689308270030614E-3</v>
      </c>
      <c r="AU67" s="303">
        <f>INDEX($A$61:$H$74,MATCH($L67,$B$61:$B$74,0),MATCH($AO$60,$A$61:$H$61,0))*고양시_Modal_split!I$3 * 0.01</f>
        <v>0.29716276990685103</v>
      </c>
      <c r="AV67" s="303">
        <f>INDEX($A$61:$H$74,MATCH($L67,$B$61:$B$74,0),MATCH($AO$60,$A$61:$H$61,0))*고양시_Modal_split!J$3 * 0.01</f>
        <v>3.2538254373973188</v>
      </c>
      <c r="AW67" s="303">
        <f>INDEX($A$61:$H$74,MATCH($L67,$B$61:$B$74,0),MATCH($AO$60,$A$61:$H$61,0))*고양시_Modal_split!K$3 * 0.01</f>
        <v>1.6033962405045919E-2</v>
      </c>
      <c r="AX67" s="303">
        <f>INDEX($A$61:$H$74,MATCH($L67,$B$61:$B$74,0),MATCH($AO$60,$A$61:$H$61,0))*고양시_Modal_split!L$3 * 0.01</f>
        <v>0.3228171097549245</v>
      </c>
      <c r="AY67" s="303">
        <f>INDEX($A$61:$H$74,MATCH($L67,$B$61:$B$74,0),MATCH($AO$60,$A$61:$H$61,0))*고양시_Modal_split!M$3 * 0.01</f>
        <v>2.4585409021070408E-2</v>
      </c>
      <c r="AZ67" s="303">
        <f>INDEX($A$61:$H$74,MATCH($L67,$B$61:$B$74,0),MATCH($AO$60,$A$61:$H$61,0))*고양시_Modal_split!N$3 * 0.01</f>
        <v>1.0689308270030614E-2</v>
      </c>
      <c r="BA67" s="207">
        <f>INDEX($A$61:$H$74,MATCH($L67,$B$61:$B$74,0),MATCH($AO$60,$A$61:$H$61,0))*고양시_Modal_split!O$3 * 0.01</f>
        <v>1.9240754886055103E-2</v>
      </c>
      <c r="BB67" s="207">
        <f>INDEX($A$61:$H$74,MATCH($L67,$B$61:$B$74,0),MATCH($AO$60,$A$61:$H$61,0))*고양시_Modal_split!P$3 * 0.01</f>
        <v>10.689308270030613</v>
      </c>
      <c r="BC67" s="207">
        <f>INDEX($A$61:$H$74,MATCH($L67,$B$61:$B$74,0),MATCH($BC$60,$A$61:$H$61,0))*고양시_Modal_split!C$3 * 0.01</f>
        <v>8.1166272965655791E-5</v>
      </c>
      <c r="BD67" s="207">
        <f>INDEX($A$61:$H$74,MATCH($L67,$B$61:$B$74,0),MATCH($BC$60,$A$61:$H$61,0))*고양시_Modal_split!D$3 * 0.01</f>
        <v>1.3633035062767114E-2</v>
      </c>
      <c r="BE67" s="207">
        <f>INDEX($A$61:$H$74,MATCH($L67,$B$61:$B$74,0),MATCH($BC$60,$A$61:$H$61,0))*고양시_Modal_split!E$3 * 0.01</f>
        <v>1.6494146184806481E-3</v>
      </c>
      <c r="BF67" s="207">
        <f>INDEX($A$61:$H$74,MATCH($L67,$B$61:$B$74,0),MATCH($BC$60,$A$61:$H$61,0))*고양시_Modal_split!F$3 * 0.01</f>
        <v>2.6581954396252272E-3</v>
      </c>
      <c r="BG67" s="207">
        <f>INDEX($A$61:$H$74,MATCH($L67,$B$61:$B$74,0),MATCH($BC$60,$A$61:$H$61,0))*고양시_Modal_split!G$3 * 0.01</f>
        <v>2.6668918260144045E-4</v>
      </c>
      <c r="BH67" s="207">
        <f>INDEX($A$61:$H$74,MATCH($L67,$B$61:$B$74,0),MATCH($BC$60,$A$61:$H$61,0))*고양시_Modal_split!H$3 * 0.01</f>
        <v>2.8987954630591354E-6</v>
      </c>
      <c r="BI67" s="207">
        <f>INDEX($A$61:$H$74,MATCH($L67,$B$61:$B$74,0),MATCH($BC$60,$A$61:$H$61,0))*고양시_Modal_split!I$3 * 0.01</f>
        <v>8.0586513873043958E-4</v>
      </c>
      <c r="BJ67" s="207">
        <f>INDEX($A$61:$H$74,MATCH($L67,$B$61:$B$74,0),MATCH($BC$60,$A$61:$H$61,0))*고양시_Modal_split!J$3 * 0.01</f>
        <v>8.8239333895520078E-3</v>
      </c>
      <c r="BK67" s="207">
        <f>INDEX($A$61:$H$74,MATCH($L67,$B$61:$B$74,0),MATCH($BC$60,$A$61:$H$61,0))*고양시_Modal_split!K$3 * 0.01</f>
        <v>4.3481931945887031E-5</v>
      </c>
      <c r="BL67" s="207">
        <f>INDEX($A$61:$H$74,MATCH($L67,$B$61:$B$74,0),MATCH($BC$60,$A$61:$H$61,0))*고양시_Modal_split!L$3 * 0.01</f>
        <v>8.7543622984385895E-4</v>
      </c>
      <c r="BM67" s="207">
        <f>INDEX($A$61:$H$74,MATCH($L67,$B$61:$B$74,0),MATCH($BC$60,$A$61:$H$61,0))*고양시_Modal_split!M$3 * 0.01</f>
        <v>6.6672295650360111E-5</v>
      </c>
      <c r="BN67" s="207">
        <f>INDEX($A$61:$H$74,MATCH($L67,$B$61:$B$74,0),MATCH($BC$60,$A$61:$H$61,0))*고양시_Modal_split!N$3 * 0.01</f>
        <v>2.8987954630591355E-5</v>
      </c>
      <c r="BO67" s="207">
        <f>INDEX($A$61:$H$74,MATCH($L67,$B$61:$B$74,0),MATCH($BC$60,$A$61:$H$61,0))*고양시_Modal_split!O$3 * 0.01</f>
        <v>5.2178318335064439E-5</v>
      </c>
      <c r="BP67" s="207">
        <f>INDEX($A$61:$H$74,MATCH($L67,$B$61:$B$74,0),MATCH($BC$60,$A$61:$H$61,0))*고양시_Modal_split!P$3 * 0.01</f>
        <v>2.8987954630591353E-2</v>
      </c>
      <c r="BQ67" s="207">
        <f>INDEX($A$61:$H$74,MATCH($L67,$B$61:$B$74,0),MATCH($BQ$60,$A$61:$H$61,0))*고양시_Modal_split!C$3 * 0.01</f>
        <v>2.2997110673602652E-4</v>
      </c>
      <c r="BR67" s="207">
        <f>INDEX($A$61:$H$74,MATCH($L67,$B$61:$B$74,0),MATCH($BQ$60,$A$61:$H$61,0))*고양시_Modal_split!D$3 * 0.01</f>
        <v>3.862693267784046E-2</v>
      </c>
      <c r="BS67" s="207">
        <f>INDEX($A$61:$H$74,MATCH($L67,$B$61:$B$74,0),MATCH($BQ$60,$A$61:$H$61,0))*고양시_Modal_split!E$3 * 0.01</f>
        <v>4.6733414190285386E-3</v>
      </c>
      <c r="BT67" s="207">
        <f>INDEX($A$61:$H$74,MATCH($L67,$B$61:$B$74,0),MATCH($BQ$60,$A$61:$H$61,0))*고양시_Modal_split!F$3 * 0.01</f>
        <v>7.5315537456048685E-3</v>
      </c>
      <c r="BU67" s="207">
        <f>INDEX($A$61:$H$74,MATCH($L67,$B$61:$B$74,0),MATCH($BQ$60,$A$61:$H$61,0))*고양시_Modal_split!G$3 * 0.01</f>
        <v>7.5561935070408721E-4</v>
      </c>
      <c r="BV67" s="207">
        <f>INDEX($A$61:$H$74,MATCH($L67,$B$61:$B$74,0),MATCH($BQ$60,$A$61:$H$61,0))*고양시_Modal_split!H$3 * 0.01</f>
        <v>8.2132538120009482E-6</v>
      </c>
      <c r="BW67" s="207">
        <f>INDEX($A$61:$H$74,MATCH($L67,$B$61:$B$74,0),MATCH($BQ$60,$A$61:$H$61,0))*고양시_Modal_split!I$3 * 0.01</f>
        <v>2.2832845597362634E-3</v>
      </c>
      <c r="BX67" s="207">
        <f>INDEX($A$61:$H$74,MATCH($L67,$B$61:$B$74,0),MATCH($BQ$60,$A$61:$H$61,0))*고양시_Modal_split!J$3 * 0.01</f>
        <v>2.5001144603730884E-2</v>
      </c>
      <c r="BY67" s="207">
        <f>INDEX($A$61:$H$74,MATCH($L67,$B$61:$B$74,0),MATCH($BQ$60,$A$61:$H$61,0))*고양시_Modal_split!K$3 * 0.01</f>
        <v>1.2319880718001422E-4</v>
      </c>
      <c r="BZ67" s="207">
        <f>INDEX($A$61:$H$74,MATCH($L67,$B$61:$B$74,0),MATCH($BQ$60,$A$61:$H$61,0))*고양시_Modal_split!L$3 * 0.01</f>
        <v>2.4804026512242863E-3</v>
      </c>
      <c r="CA67" s="207">
        <f>INDEX($A$61:$H$74,MATCH($L67,$B$61:$B$74,0),MATCH($BQ$60,$A$61:$H$61,0))*고양시_Modal_split!M$3 * 0.01</f>
        <v>1.889048376760218E-4</v>
      </c>
      <c r="CB67" s="207">
        <f>INDEX($A$61:$H$74,MATCH($L67,$B$61:$B$74,0),MATCH($BQ$60,$A$61:$H$61,0))*고양시_Modal_split!N$3 * 0.01</f>
        <v>8.2132538120009482E-5</v>
      </c>
      <c r="CC67" s="207">
        <f>INDEX($A$61:$H$74,MATCH($L67,$B$61:$B$74,0),MATCH($BQ$60,$A$61:$H$61,0))*고양시_Modal_split!O$3 * 0.01</f>
        <v>1.4783856861601705E-4</v>
      </c>
      <c r="CD67" s="207">
        <f>INDEX($A$61:$H$74,MATCH($L67,$B$61:$B$74,0),MATCH($BQ$60,$A$61:$H$61,0))*고양시_Modal_split!P$3 * 0.01</f>
        <v>8.213253812000948E-2</v>
      </c>
      <c r="CE67" s="304">
        <f t="shared" si="31"/>
        <v>0.79231133741033355</v>
      </c>
      <c r="CF67" s="304">
        <f t="shared" si="13"/>
        <v>133.08000785145708</v>
      </c>
      <c r="CG67" s="304">
        <f t="shared" si="14"/>
        <v>16.100898249517133</v>
      </c>
      <c r="CH67" s="304">
        <f t="shared" si="15"/>
        <v>25.948196300188425</v>
      </c>
      <c r="CI67" s="304">
        <f t="shared" si="16"/>
        <v>2.6033086800625242</v>
      </c>
      <c r="CJ67" s="304">
        <f t="shared" si="17"/>
        <v>2.8296833478940485E-2</v>
      </c>
      <c r="CK67" s="304">
        <f t="shared" si="18"/>
        <v>7.8665197071454536</v>
      </c>
      <c r="CL67" s="304">
        <f t="shared" si="19"/>
        <v>86.135561109894837</v>
      </c>
      <c r="CM67" s="304">
        <f t="shared" si="20"/>
        <v>0.42445250218410718</v>
      </c>
      <c r="CN67" s="304">
        <f t="shared" si="21"/>
        <v>8.5456437106400251</v>
      </c>
      <c r="CO67" s="304">
        <f t="shared" si="22"/>
        <v>0.65082717001563106</v>
      </c>
      <c r="CP67" s="304">
        <f t="shared" si="23"/>
        <v>0.28296833478940481</v>
      </c>
      <c r="CQ67" s="304">
        <f t="shared" si="24"/>
        <v>0.50934300262092869</v>
      </c>
      <c r="CR67" s="304">
        <f t="shared" si="25"/>
        <v>282.96833478940482</v>
      </c>
      <c r="CS67" s="305">
        <f t="shared" si="32"/>
        <v>0</v>
      </c>
      <c r="CV67" s="267" t="s">
        <v>13</v>
      </c>
      <c r="CW67" s="267" t="s">
        <v>13</v>
      </c>
      <c r="CX67" s="267">
        <f>INDEX($M$60:$Z$74,MATCH($CW67,$L$60:$L$74,0),MATCH(CX$61,$M$61:$Z$61,0))/INDEX(고양시_재차인원!$D$4:$H$35,MATCH("고양시",고양시_재차인원!$B$4:$B$35,0),MATCH($CX$60,고양시_재차인원!$D$4:$H$4,0))</f>
        <v>13.022388700580757</v>
      </c>
      <c r="CY67" s="267">
        <f>INDEX($M$60:$Z$74,MATCH($CW67,$L$60:$L$74,0),MATCH(CY$61,$M$61:$Z$61,0))/INDEX(고양시_재차인원!$K$4:$O$20,MATCH("경기도",고양시_재차인원!$K$4:$K$20,0),MATCH($CY$61,고양시_재차인원!$K$4:$O$4,0))</f>
        <v>1.0771893063202916E-4</v>
      </c>
      <c r="CZ67" s="267">
        <f>INDEX($M$60:$Z$74,MATCH($CW67,$L$60:$L$74,0),MATCH(CZ$61,$M$61:$Z$61,0))/INDEX(고양시_재차인원!$K$4:$O$20,MATCH("경기도",고양시_재차인원!$K$4:$K$20,0),MATCH($CZ$61,고양시_재차인원!$K$4:$O$4,0))</f>
        <v>2.9945862715704107E-2</v>
      </c>
      <c r="DA67" s="267">
        <f>INDEX($M$60:$Z$74,MATCH($CW67,$L$60:$L$74,0),MATCH(DA$61,$M$61:$Z$61,0))/INDEX(고양시_재차인원!$D$4:$H$35,MATCH("고양시",고양시_재차인원!$B$4:$B$35,0),MATCH($CX$60,고양시_재차인원!$D$4:$H$4,0))</f>
        <v>0.83622398204877502</v>
      </c>
      <c r="DB67" s="267">
        <f>INDEX($AA$60:$AN$74,MATCH($CW67,$L$60:$L$74,0),MATCH(DB$61,$AA$61:$AN$61,0))/INDEX(고양시_재차인원!$D$4:$H$35,MATCH("고양시",고양시_재차인원!$B$4:$B$35,0),MATCH($DB$60,고양시_재차인원!$D$4:$H$4,0))</f>
        <v>80.436518340191952</v>
      </c>
      <c r="DC67" s="267">
        <f>INDEX($AA$60:$AN$74,MATCH($CW67,$L$60:$L$74,0),MATCH(DC$61,$AA$61:$AN$61,0))/INDEX(고양시_재차인원!$K$4:$O$20,MATCH("경기도",고양시_재차인원!$K$4:$K$20,0),MATCH($DC$61,고양시_재차인원!$K$4:$O$4,0))</f>
        <v>8.3763676935624332E-4</v>
      </c>
      <c r="DD67" s="267">
        <f>INDEX($AA$60:$AN$74,MATCH($CW67,$L$60:$L$74,0),MATCH(DD$61,$AA$61:$AN$61,0))/INDEX(고양시_재차인원!$K$4:$O$20,MATCH("경기도",고양시_재차인원!$K$4:$K$20,0),MATCH($DD$61,고양시_재차인원!$K$4:$O$4,0))</f>
        <v>0.23286302188103558</v>
      </c>
      <c r="DE67" s="267">
        <f>INDEX($AA$60:$AN$74,MATCH($CW67,$L$60:$L$74,0),MATCH(DE$61,$AA$61:$AN$61,0))/INDEX(고양시_재차인원!$D$4:$H$35,MATCH("고양시",고양시_재차인원!$B$4:$B$35,0),MATCH($DB$60,고양시_재차인원!$D$4:$H$4,0))</f>
        <v>5.165177235538585</v>
      </c>
      <c r="DF67" s="267">
        <f>INDEX($AO$60:$BB$74,MATCH($CW67,$L$60:$L$74,0),MATCH(DF$61,$AO$61:$BB$61,0))/INDEX(고양시_재차인원!$D$4:$H$35,MATCH("고양시",고양시_재차인원!$B$4:$B$35,0),MATCH($DF$60,고양시_재차인원!$D$4:$H$4,0))</f>
        <v>3.8670628303041519</v>
      </c>
      <c r="DG67" s="267">
        <f>INDEX($AO$60:$BB$74,MATCH($CW67,$L$60:$L$74,0),MATCH(DG$61,$AO$61:$BB$61,0))/INDEX(고양시_재차인원!$K$4:$O$20,MATCH("경기도",고양시_재차인원!$K$4:$K$20,0),MATCH($DG$61,고양시_재차인원!$K$4:$O$4,0))</f>
        <v>3.7128545571485288E-5</v>
      </c>
      <c r="DH67" s="267">
        <f>INDEX($AO$60:$BB$74,MATCH($CW67,$L$60:$L$74,0),MATCH(DH$61,$AO$61:$BB$61,0))/INDEX(고양시_재차인원!$K$4:$O$20,MATCH("경기도",고양시_재차인원!$K$4:$K$20,0),MATCH($DH$61,고양시_재차인원!$K$4:$O$4,0))</f>
        <v>1.0321735668872909E-2</v>
      </c>
      <c r="DI67" s="267">
        <f>INDEX($AO$60:$BB$74,MATCH($CW67,$L$60:$L$74,0),MATCH(DI$61,$AO$61:$BB$61,0))/INDEX(고양시_재차인원!$D$4:$H$35,MATCH("고양시",고양시_재차인원!$B$4:$B$35,0),MATCH($DF$60,고양시_재차인원!$D$4:$H$4,0))</f>
        <v>0.24832085365763423</v>
      </c>
      <c r="DJ67" s="267">
        <f>INDEX($BC$60:$BP$74,MATCH($CW67,$L$60:$L$74,0),MATCH(DJ$61,$BC$61:$BP$61,0))/INDEX(고양시_재차인원!$D$4:$H$35,MATCH("고양시",고양시_재차인원!$B$4:$B$35,0),MATCH($DJ$60,고양시_재차인원!$D$4:$H$4,0))</f>
        <v>1.0024290487328761E-2</v>
      </c>
      <c r="DK67" s="267">
        <f>INDEX($BC$60:$BP$74,MATCH($CW67,$L$60:$L$74,0),MATCH(DK$61,$BC$61:$BP$61,0))/INDEX(고양시_재차인원!$K$4:$O$20,MATCH("경기도",고양시_재차인원!$K$4:$K$20,0),MATCH($DK$61,고양시_재차인원!$K$4:$O$4,0))</f>
        <v>1.0068758121080707E-7</v>
      </c>
      <c r="DL67" s="267">
        <f>INDEX($BC$60:$BP$74,MATCH($CW67,$L$60:$L$74,0),MATCH(DL$61,$BC$61:$BP$61,0))/INDEX(고양시_재차인원!$K$4:$O$20,MATCH("경기도",고양시_재차인원!$K$4:$K$20,0),MATCH($DL$61,고양시_재차인원!$K$4:$O$4,0))</f>
        <v>2.7991147576604362E-5</v>
      </c>
      <c r="DM67" s="267">
        <f>INDEX($BC$60:$BP$74,MATCH($CW67,$L$60:$L$74,0),MATCH(DM$61,$BC$61:$BP$61,0))/INDEX(고양시_재차인원!$D$4:$H$35,MATCH("고양시",고양시_재차인원!$B$4:$B$35,0),MATCH($DJ$60,고양시_재차인원!$D$4:$H$4,0))</f>
        <v>6.4370311017930798E-4</v>
      </c>
      <c r="DN67" s="267">
        <f>INDEX($BQ$60:$CD$74,MATCH($CW67,$L$60:$L$74,0),MATCH(DN$61,$BQ$61:$CD$61,0))/INDEX(고양시_재차인원!$D$4:$H$35,MATCH("고양시",고양시_재차인원!$B$4:$B$35,0),MATCH($DN$60,고양시_재차인원!$D$4:$H$4,0))</f>
        <v>3.0656295776063856E-2</v>
      </c>
      <c r="DO67" s="267">
        <f>INDEX($BQ$60:$CD$74,MATCH($CW67,$L$60:$L$74,0),MATCH(DO$61,$BQ$61:$CD$61,0))/INDEX(고양시_재차인원!$K$4:$O$20,MATCH("경기도",고양시_재차인원!$K$4:$K$20,0),MATCH($DO$61,고양시_재차인원!$K$4:$O$4,0))</f>
        <v>2.8528148009728893E-7</v>
      </c>
      <c r="DP67" s="267">
        <f>INDEX($BQ$60:$CD$74,MATCH($CW67,$L$60:$L$74,0),MATCH(DP$61,$BQ$61:$CD$61,0))/INDEX(고양시_재차인원!$K$4:$O$20,MATCH("경기도",고양시_재차인원!$K$4:$K$20,0),MATCH($DP$61,고양시_재차인원!$K$4:$O$4,0))</f>
        <v>7.9308251467046317E-5</v>
      </c>
      <c r="DQ67" s="267">
        <f>INDEX($BQ$60:$CD$74,MATCH($CW67,$L$60:$L$74,0),MATCH(DQ$61,$BQ$61:$CD$61,0))/INDEX(고양시_재차인원!$D$4:$H$35,MATCH("고양시",고양시_재차인원!$B$4:$B$35,0),MATCH($DN$60,고양시_재차인원!$D$4:$H$4,0))</f>
        <v>1.9685735327176876E-3</v>
      </c>
      <c r="DR67" s="270">
        <f t="shared" si="33"/>
        <v>97.366650457340256</v>
      </c>
      <c r="DS67" s="270">
        <f t="shared" si="26"/>
        <v>9.8287021462106577E-4</v>
      </c>
      <c r="DT67" s="270">
        <f t="shared" si="27"/>
        <v>0.27323791966465627</v>
      </c>
      <c r="DU67" s="270">
        <f t="shared" si="28"/>
        <v>6.2523343478878912</v>
      </c>
      <c r="DW67" s="278" t="s">
        <v>13</v>
      </c>
      <c r="DX67" s="278" t="s">
        <v>13</v>
      </c>
      <c r="DY67" s="281">
        <f t="shared" ref="DY67:DY73" si="41">DR67+DU67</f>
        <v>103.61898480522815</v>
      </c>
      <c r="DZ67" s="281">
        <f t="shared" ref="DZ67:DZ73" si="42">DS67+DT67</f>
        <v>0.27422078987927734</v>
      </c>
      <c r="EB67" s="278" t="s">
        <v>13</v>
      </c>
      <c r="EC67" s="278" t="s">
        <v>13</v>
      </c>
      <c r="ED67" s="281">
        <f t="shared" ref="ED67" si="43">DY67</f>
        <v>103.61898480522815</v>
      </c>
      <c r="EE67" s="281">
        <f t="shared" si="40"/>
        <v>0.27422078987927734</v>
      </c>
      <c r="EK67" s="420" t="s">
        <v>622</v>
      </c>
      <c r="EL67" s="420" t="s">
        <v>621</v>
      </c>
      <c r="EM67" s="420" t="s">
        <v>221</v>
      </c>
      <c r="EN67" s="420">
        <v>32098.9882</v>
      </c>
      <c r="EO67" s="420">
        <v>1</v>
      </c>
      <c r="EP67" s="421">
        <v>849006</v>
      </c>
      <c r="EQ67" s="422">
        <f t="shared" si="37"/>
        <v>641.46084664058526</v>
      </c>
      <c r="ER67" s="422">
        <f t="shared" si="38"/>
        <v>1.6975837041161215</v>
      </c>
      <c r="ES67">
        <v>0</v>
      </c>
      <c r="EU67" s="306" t="s">
        <v>622</v>
      </c>
      <c r="EV67" s="306" t="s">
        <v>201</v>
      </c>
      <c r="EW67" s="306" t="s">
        <v>221</v>
      </c>
      <c r="EX67" s="306">
        <v>32098.9882</v>
      </c>
      <c r="EY67" s="306">
        <v>1</v>
      </c>
      <c r="EZ67" s="307">
        <v>849006</v>
      </c>
      <c r="FA67" s="308">
        <f t="shared" si="39"/>
        <v>641.46084664058526</v>
      </c>
      <c r="FB67" s="308">
        <f t="shared" si="30"/>
        <v>1.6975837041161215</v>
      </c>
      <c r="FD67" s="101"/>
      <c r="FE67" s="101"/>
      <c r="FF67" s="101"/>
      <c r="FG67" s="101"/>
      <c r="FH67" s="101"/>
      <c r="FI67" s="374"/>
      <c r="FJ67" s="404"/>
      <c r="FK67" s="404"/>
    </row>
    <row r="68" spans="1:167">
      <c r="A68" s="205" t="s">
        <v>167</v>
      </c>
      <c r="B68" s="205" t="s">
        <v>167</v>
      </c>
      <c r="C68" s="201">
        <f>$L35*KTDB_TripDistribution_2040!L$12</f>
        <v>128.56197690551426</v>
      </c>
      <c r="D68" s="201">
        <f>$L35*KTDB_TripDistribution_2040!M$12</f>
        <v>999.71507668464449</v>
      </c>
      <c r="E68" s="201">
        <f>$L35*KTDB_TripDistribution_2040!N$12</f>
        <v>44.312723773710829</v>
      </c>
      <c r="F68" s="201">
        <f>$L35*KTDB_TripDistribution_2040!O$12</f>
        <v>0.12017009836938469</v>
      </c>
      <c r="G68" s="201">
        <f>$L35*KTDB_TripDistribution_2040!P$12</f>
        <v>0.34048194537992599</v>
      </c>
      <c r="H68" s="201">
        <f>$L35*KTDB_TripDistribution_2040!Q$12</f>
        <v>1173.0504294076188</v>
      </c>
      <c r="I68" s="56"/>
      <c r="J68" s="56"/>
      <c r="K68" s="206" t="s">
        <v>167</v>
      </c>
      <c r="L68" s="206" t="s">
        <v>167</v>
      </c>
      <c r="M68" s="206">
        <f>INDEX($A$61:$H$74,MATCH($L68,$B$61:$B$74,0),MATCH($M$60,$A$61:$H$61,0))*고양시_Modal_split!C$3 * 0.01</f>
        <v>0.35997353533543985</v>
      </c>
      <c r="N68" s="206">
        <f>INDEX($A$61:$H$74,MATCH($L68,$B$61:$B$74,0),MATCH($M$60,$A$61:$H$61,0))*고양시_Modal_split!D$3 * 0.01</f>
        <v>60.462697738663358</v>
      </c>
      <c r="O68" s="206">
        <f>INDEX($A$61:$H$74,MATCH($L68,$B$61:$B$74,0),MATCH($M$60,$A$61:$H$61,0))*고양시_Modal_split!E$3 * 0.01</f>
        <v>7.3151764859237609</v>
      </c>
      <c r="P68" s="206">
        <f>INDEX($A$61:$H$74,MATCH($L68,$B$61:$B$74,0),MATCH($M$60,$A$61:$H$61,0))*고양시_Modal_split!F$3 * 0.01</f>
        <v>11.789133282235657</v>
      </c>
      <c r="Q68" s="206">
        <f>INDEX($A$61:$H$74,MATCH($L68,$B$61:$B$74,0),MATCH($M$60,$A$61:$H$61,0))*고양시_Modal_split!G$3 * 0.01</f>
        <v>1.182770187530731</v>
      </c>
      <c r="R68" s="206">
        <f>INDEX($A$61:$H$74,MATCH($L68,$B$61:$B$74,0),MATCH($M$60,$A$61:$H$61,0))*고양시_Modal_split!H$3 * 0.01</f>
        <v>1.2856197690551425E-2</v>
      </c>
      <c r="S68" s="206">
        <f>INDEX($A$61:$H$74,MATCH($L68,$B$61:$B$74,0),MATCH($M$60,$A$61:$H$61,0))*고양시_Modal_split!I$3 * 0.01</f>
        <v>3.5740229579732961</v>
      </c>
      <c r="T68" s="206">
        <f>INDEX($A$61:$H$74,MATCH($L68,$B$61:$B$74,0),MATCH($M$60,$A$61:$H$61,0))*고양시_Modal_split!J$3 * 0.01</f>
        <v>39.134265770038546</v>
      </c>
      <c r="U68" s="206">
        <f>INDEX($A$61:$H$74,MATCH($L68,$B$61:$B$74,0),MATCH($M$60,$A$61:$H$61,0))*고양시_Modal_split!K$3 * 0.01</f>
        <v>0.19284296535827139</v>
      </c>
      <c r="V68" s="206">
        <f>INDEX($A$61:$H$74,MATCH($L68,$B$61:$B$74,0),MATCH($M$60,$A$61:$H$61,0))*고양시_Modal_split!L$3 * 0.01</f>
        <v>3.8825717025465303</v>
      </c>
      <c r="W68" s="206">
        <f>INDEX($A$61:$H$74,MATCH($L68,$B$61:$B$74,0),MATCH($M$60,$A$61:$H$61,0))*고양시_Modal_split!M$3 * 0.01</f>
        <v>0.29569254688268276</v>
      </c>
      <c r="X68" s="206">
        <f>INDEX($A$61:$H$74,MATCH($L68,$B$61:$B$74,0),MATCH($M$60,$A$61:$H$61,0))*고양시_Modal_split!N$3 * 0.01</f>
        <v>0.12856197690551427</v>
      </c>
      <c r="Y68" s="206">
        <f>INDEX($A$61:$H$74,MATCH($L68,$B$61:$B$74,0),MATCH($M$60,$A$61:$H$61,0))*고양시_Modal_split!O$3 * 0.01</f>
        <v>0.23141155842992564</v>
      </c>
      <c r="Z68" s="209">
        <f>INDEX($A$61:$H$74,MATCH($L68,$B$61:$B$74,0),MATCH($M$60,$A$61:$H$61,0))*고양시_Modal_split!P$3 * 0.01</f>
        <v>128.56197690551426</v>
      </c>
      <c r="AA68" s="207">
        <f>INDEX($A$61:$H$74,MATCH($L68,$B$61:$B$74,0),MATCH($AA$60,$A$61:$H$61,0))*고양시_Modal_split!C$3 * 0.01</f>
        <v>2.7992022147170044</v>
      </c>
      <c r="AB68" s="207">
        <f>INDEX($A$61:$H$74,MATCH($L68,$B$61:$B$74,0),MATCH($AA$60,$A$61:$H$61,0))*고양시_Modal_split!D$3 * 0.01</f>
        <v>470.16600056478836</v>
      </c>
      <c r="AC68" s="207">
        <f>INDEX($A$61:$H$74,MATCH($L68,$B$61:$B$74,0),MATCH($AA$60,$A$61:$H$61,0))*고양시_Modal_split!E$3 * 0.01</f>
        <v>56.883787863356268</v>
      </c>
      <c r="AD68" s="207">
        <f>INDEX($A$61:$H$74,MATCH($L68,$B$61:$B$74,0),MATCH($AA$60,$A$61:$H$61,0))*고양시_Modal_split!F$3 * 0.01</f>
        <v>91.673872531981914</v>
      </c>
      <c r="AE68" s="207">
        <f>INDEX($A$61:$H$74,MATCH($L68,$B$61:$B$74,0),MATCH($AA$60,$A$61:$H$61,0))*고양시_Modal_split!G$3 * 0.01</f>
        <v>9.1973787054987284</v>
      </c>
      <c r="AF68" s="207">
        <f>INDEX($A$61:$H$74,MATCH($L68,$B$61:$B$74,0),MATCH($AA$60,$A$61:$H$61,0))*고양시_Modal_split!H$3 * 0.01</f>
        <v>9.9971507668464452E-2</v>
      </c>
      <c r="AG68" s="207">
        <f>INDEX($A$61:$H$74,MATCH($L68,$B$61:$B$74,0),MATCH($AA$60,$A$61:$H$61,0))*고양시_Modal_split!I$3 * 0.01</f>
        <v>27.792079131833116</v>
      </c>
      <c r="AH68" s="207">
        <f>INDEX($A$61:$H$74,MATCH($L68,$B$61:$B$74,0),MATCH($AA$60,$A$61:$H$61,0))*고양시_Modal_split!J$3 * 0.01</f>
        <v>304.31326934280582</v>
      </c>
      <c r="AI68" s="207">
        <f>INDEX($A$61:$H$74,MATCH($L68,$B$61:$B$74,0),MATCH($AA$60,$A$61:$H$61,0))*고양시_Modal_split!K$3 * 0.01</f>
        <v>1.4995726150269668</v>
      </c>
      <c r="AJ68" s="207">
        <f>INDEX($A$61:$H$74,MATCH($L68,$B$61:$B$74,0),MATCH($AA$60,$A$61:$H$61,0))*고양시_Modal_split!L$3 * 0.01</f>
        <v>30.191395315876264</v>
      </c>
      <c r="AK68" s="207">
        <f>INDEX($A$61:$H$74,MATCH($L68,$B$61:$B$74,0),MATCH($AA$60,$A$61:$H$61,0))*고양시_Modal_split!M$3 * 0.01</f>
        <v>2.2993446763746821</v>
      </c>
      <c r="AL68" s="207">
        <f>INDEX($A$61:$H$74,MATCH($L68,$B$61:$B$74,0),MATCH($AA$60,$A$61:$H$61,0))*고양시_Modal_split!N$3 * 0.01</f>
        <v>0.99971507668464454</v>
      </c>
      <c r="AM68" s="207">
        <f>INDEX($A$61:$H$74,MATCH($L68,$B$61:$B$74,0),MATCH($AA$60,$A$61:$H$61,0))*고양시_Modal_split!O$3 * 0.01</f>
        <v>1.7994871380323598</v>
      </c>
      <c r="AN68" s="207">
        <f>INDEX($A$61:$H$74,MATCH($L68,$B$61:$B$74,0),MATCH($AA$60,$A$61:$H$61,0))*고양시_Modal_split!P$3 * 0.01</f>
        <v>999.71507668464449</v>
      </c>
      <c r="AO68" s="303">
        <f>INDEX($A$61:$H$74,MATCH($L68,$B$61:$B$74,0),MATCH($AO$60,$A$61:$H$61,0))*고양시_Modal_split!C$3 * 0.01</f>
        <v>0.12407562656639032</v>
      </c>
      <c r="AP68" s="303">
        <f>INDEX($A$61:$H$74,MATCH($L68,$B$61:$B$74,0),MATCH($AO$60,$A$61:$H$61,0))*고양시_Modal_split!D$3 * 0.01</f>
        <v>20.840273990776204</v>
      </c>
      <c r="AQ68" s="303">
        <f>INDEX($A$61:$H$74,MATCH($L68,$B$61:$B$74,0),MATCH($AO$60,$A$61:$H$61,0))*고양시_Modal_split!E$3 * 0.01</f>
        <v>2.5213939827241458</v>
      </c>
      <c r="AR68" s="303">
        <f>INDEX($A$61:$H$74,MATCH($L68,$B$61:$B$74,0),MATCH($AO$60,$A$61:$H$61,0))*고양시_Modal_split!F$3 * 0.01</f>
        <v>4.0634767700492826</v>
      </c>
      <c r="AS68" s="303">
        <f>INDEX($A$61:$H$74,MATCH($L68,$B$61:$B$74,0),MATCH($AO$60,$A$61:$H$61,0))*고양시_Modal_split!G$3 * 0.01</f>
        <v>0.40767705871813958</v>
      </c>
      <c r="AT68" s="303">
        <f>INDEX($A$61:$H$74,MATCH($L68,$B$61:$B$74,0),MATCH($AO$60,$A$61:$H$61,0))*고양시_Modal_split!H$3 * 0.01</f>
        <v>4.4312723773710832E-3</v>
      </c>
      <c r="AU68" s="303">
        <f>INDEX($A$61:$H$74,MATCH($L68,$B$61:$B$74,0),MATCH($AO$60,$A$61:$H$61,0))*고양시_Modal_split!I$3 * 0.01</f>
        <v>1.2318937209091609</v>
      </c>
      <c r="AV68" s="303">
        <f>INDEX($A$61:$H$74,MATCH($L68,$B$61:$B$74,0),MATCH($AO$60,$A$61:$H$61,0))*고양시_Modal_split!J$3 * 0.01</f>
        <v>13.488793116717577</v>
      </c>
      <c r="AW68" s="303">
        <f>INDEX($A$61:$H$74,MATCH($L68,$B$61:$B$74,0),MATCH($AO$60,$A$61:$H$61,0))*고양시_Modal_split!K$3 * 0.01</f>
        <v>6.6469085660566252E-2</v>
      </c>
      <c r="AX68" s="303">
        <f>INDEX($A$61:$H$74,MATCH($L68,$B$61:$B$74,0),MATCH($AO$60,$A$61:$H$61,0))*고양시_Modal_split!L$3 * 0.01</f>
        <v>1.3382442579660672</v>
      </c>
      <c r="AY68" s="303">
        <f>INDEX($A$61:$H$74,MATCH($L68,$B$61:$B$74,0),MATCH($AO$60,$A$61:$H$61,0))*고양시_Modal_split!M$3 * 0.01</f>
        <v>0.1019192646795349</v>
      </c>
      <c r="AZ68" s="303">
        <f>INDEX($A$61:$H$74,MATCH($L68,$B$61:$B$74,0),MATCH($AO$60,$A$61:$H$61,0))*고양시_Modal_split!N$3 * 0.01</f>
        <v>4.431272377371083E-2</v>
      </c>
      <c r="BA68" s="207">
        <f>INDEX($A$61:$H$74,MATCH($L68,$B$61:$B$74,0),MATCH($AO$60,$A$61:$H$61,0))*고양시_Modal_split!O$3 * 0.01</f>
        <v>7.9762902792679488E-2</v>
      </c>
      <c r="BB68" s="207">
        <f>INDEX($A$61:$H$74,MATCH($L68,$B$61:$B$74,0),MATCH($AO$60,$A$61:$H$61,0))*고양시_Modal_split!P$3 * 0.01</f>
        <v>44.312723773710836</v>
      </c>
      <c r="BC68" s="207">
        <f>INDEX($A$61:$H$74,MATCH($L68,$B$61:$B$74,0),MATCH($BC$60,$A$61:$H$61,0))*고양시_Modal_split!C$3 * 0.01</f>
        <v>3.3647627543427711E-4</v>
      </c>
      <c r="BD68" s="207">
        <f>INDEX($A$61:$H$74,MATCH($L68,$B$61:$B$74,0),MATCH($BC$60,$A$61:$H$61,0))*고양시_Modal_split!D$3 * 0.01</f>
        <v>5.6515997263121627E-2</v>
      </c>
      <c r="BE68" s="207">
        <f>INDEX($A$61:$H$74,MATCH($L68,$B$61:$B$74,0),MATCH($BC$60,$A$61:$H$61,0))*고양시_Modal_split!E$3 * 0.01</f>
        <v>6.8376785972179893E-3</v>
      </c>
      <c r="BF68" s="207">
        <f>INDEX($A$61:$H$74,MATCH($L68,$B$61:$B$74,0),MATCH($BC$60,$A$61:$H$61,0))*고양시_Modal_split!F$3 * 0.01</f>
        <v>1.1019598020472577E-2</v>
      </c>
      <c r="BG68" s="207">
        <f>INDEX($A$61:$H$74,MATCH($L68,$B$61:$B$74,0),MATCH($BC$60,$A$61:$H$61,0))*고양시_Modal_split!G$3 * 0.01</f>
        <v>1.1055649049983391E-3</v>
      </c>
      <c r="BH68" s="207">
        <f>INDEX($A$61:$H$74,MATCH($L68,$B$61:$B$74,0),MATCH($BC$60,$A$61:$H$61,0))*고양시_Modal_split!H$3 * 0.01</f>
        <v>1.2017009836938469E-5</v>
      </c>
      <c r="BI68" s="207">
        <f>INDEX($A$61:$H$74,MATCH($L68,$B$61:$B$74,0),MATCH($BC$60,$A$61:$H$61,0))*고양시_Modal_split!I$3 * 0.01</f>
        <v>3.3407287346688941E-3</v>
      </c>
      <c r="BJ68" s="207">
        <f>INDEX($A$61:$H$74,MATCH($L68,$B$61:$B$74,0),MATCH($BC$60,$A$61:$H$61,0))*고양시_Modal_split!J$3 * 0.01</f>
        <v>3.6579777943640701E-2</v>
      </c>
      <c r="BK68" s="207">
        <f>INDEX($A$61:$H$74,MATCH($L68,$B$61:$B$74,0),MATCH($BC$60,$A$61:$H$61,0))*고양시_Modal_split!K$3 * 0.01</f>
        <v>1.8025514755407704E-4</v>
      </c>
      <c r="BL68" s="207">
        <f>INDEX($A$61:$H$74,MATCH($L68,$B$61:$B$74,0),MATCH($BC$60,$A$61:$H$61,0))*고양시_Modal_split!L$3 * 0.01</f>
        <v>3.6291369707554177E-3</v>
      </c>
      <c r="BM68" s="207">
        <f>INDEX($A$61:$H$74,MATCH($L68,$B$61:$B$74,0),MATCH($BC$60,$A$61:$H$61,0))*고양시_Modal_split!M$3 * 0.01</f>
        <v>2.7639122624958479E-4</v>
      </c>
      <c r="BN68" s="207">
        <f>INDEX($A$61:$H$74,MATCH($L68,$B$61:$B$74,0),MATCH($BC$60,$A$61:$H$61,0))*고양시_Modal_split!N$3 * 0.01</f>
        <v>1.2017009836938471E-4</v>
      </c>
      <c r="BO68" s="207">
        <f>INDEX($A$61:$H$74,MATCH($L68,$B$61:$B$74,0),MATCH($BC$60,$A$61:$H$61,0))*고양시_Modal_split!O$3 * 0.01</f>
        <v>2.1630617706489244E-4</v>
      </c>
      <c r="BP68" s="207">
        <f>INDEX($A$61:$H$74,MATCH($L68,$B$61:$B$74,0),MATCH($BC$60,$A$61:$H$61,0))*고양시_Modal_split!P$3 * 0.01</f>
        <v>0.12017009836938469</v>
      </c>
      <c r="BQ68" s="207">
        <f>INDEX($A$61:$H$74,MATCH($L68,$B$61:$B$74,0),MATCH($BQ$60,$A$61:$H$61,0))*고양시_Modal_split!C$3 * 0.01</f>
        <v>9.5334944706379271E-4</v>
      </c>
      <c r="BR68" s="207">
        <f>INDEX($A$61:$H$74,MATCH($L68,$B$61:$B$74,0),MATCH($BQ$60,$A$61:$H$61,0))*고양시_Modal_split!D$3 * 0.01</f>
        <v>0.1601286589121792</v>
      </c>
      <c r="BS68" s="207">
        <f>INDEX($A$61:$H$74,MATCH($L68,$B$61:$B$74,0),MATCH($BQ$60,$A$61:$H$61,0))*고양시_Modal_split!E$3 * 0.01</f>
        <v>1.9373422692117788E-2</v>
      </c>
      <c r="BT68" s="207">
        <f>INDEX($A$61:$H$74,MATCH($L68,$B$61:$B$74,0),MATCH($BQ$60,$A$61:$H$61,0))*고양시_Modal_split!F$3 * 0.01</f>
        <v>3.1222194391339213E-2</v>
      </c>
      <c r="BU68" s="207">
        <f>INDEX($A$61:$H$74,MATCH($L68,$B$61:$B$74,0),MATCH($BQ$60,$A$61:$H$61,0))*고양시_Modal_split!G$3 * 0.01</f>
        <v>3.1324338974953185E-3</v>
      </c>
      <c r="BV68" s="207">
        <f>INDEX($A$61:$H$74,MATCH($L68,$B$61:$B$74,0),MATCH($BQ$60,$A$61:$H$61,0))*고양시_Modal_split!H$3 * 0.01</f>
        <v>3.4048194537992598E-5</v>
      </c>
      <c r="BW68" s="207">
        <f>INDEX($A$61:$H$74,MATCH($L68,$B$61:$B$74,0),MATCH($BQ$60,$A$61:$H$61,0))*고양시_Modal_split!I$3 * 0.01</f>
        <v>9.4653980815619428E-3</v>
      </c>
      <c r="BX68" s="207">
        <f>INDEX($A$61:$H$74,MATCH($L68,$B$61:$B$74,0),MATCH($BQ$60,$A$61:$H$61,0))*고양시_Modal_split!J$3 * 0.01</f>
        <v>0.10364270417364947</v>
      </c>
      <c r="BY68" s="207">
        <f>INDEX($A$61:$H$74,MATCH($L68,$B$61:$B$74,0),MATCH($BQ$60,$A$61:$H$61,0))*고양시_Modal_split!K$3 * 0.01</f>
        <v>5.1072291806988901E-4</v>
      </c>
      <c r="BZ68" s="207">
        <f>INDEX($A$61:$H$74,MATCH($L68,$B$61:$B$74,0),MATCH($BQ$60,$A$61:$H$61,0))*고양시_Modal_split!L$3 * 0.01</f>
        <v>1.0282554750473764E-2</v>
      </c>
      <c r="CA68" s="207">
        <f>INDEX($A$61:$H$74,MATCH($L68,$B$61:$B$74,0),MATCH($BQ$60,$A$61:$H$61,0))*고양시_Modal_split!M$3 * 0.01</f>
        <v>7.8310847437382963E-4</v>
      </c>
      <c r="CB68" s="207">
        <f>INDEX($A$61:$H$74,MATCH($L68,$B$61:$B$74,0),MATCH($BQ$60,$A$61:$H$61,0))*고양시_Modal_split!N$3 * 0.01</f>
        <v>3.4048194537992599E-4</v>
      </c>
      <c r="CC68" s="207">
        <f>INDEX($A$61:$H$74,MATCH($L68,$B$61:$B$74,0),MATCH($BQ$60,$A$61:$H$61,0))*고양시_Modal_split!O$3 * 0.01</f>
        <v>6.1286750168386677E-4</v>
      </c>
      <c r="CD68" s="207">
        <f>INDEX($A$61:$H$74,MATCH($L68,$B$61:$B$74,0),MATCH($BQ$60,$A$61:$H$61,0))*고양시_Modal_split!P$3 * 0.01</f>
        <v>0.34048194537992599</v>
      </c>
      <c r="CE68" s="304">
        <f t="shared" si="31"/>
        <v>3.2845412023413325</v>
      </c>
      <c r="CF68" s="304">
        <f t="shared" si="13"/>
        <v>551.68561695040319</v>
      </c>
      <c r="CG68" s="304">
        <f t="shared" si="14"/>
        <v>66.746569433293516</v>
      </c>
      <c r="CH68" s="304">
        <f t="shared" si="15"/>
        <v>107.56872437667865</v>
      </c>
      <c r="CI68" s="304">
        <f t="shared" si="16"/>
        <v>10.792063950550093</v>
      </c>
      <c r="CJ68" s="304">
        <f t="shared" si="17"/>
        <v>0.11730504294076188</v>
      </c>
      <c r="CK68" s="304">
        <f t="shared" si="18"/>
        <v>32.610801937531804</v>
      </c>
      <c r="CL68" s="304">
        <f t="shared" si="19"/>
        <v>357.07655071167926</v>
      </c>
      <c r="CM68" s="304">
        <f t="shared" si="20"/>
        <v>1.7595756441114283</v>
      </c>
      <c r="CN68" s="304">
        <f t="shared" si="21"/>
        <v>35.426122968110093</v>
      </c>
      <c r="CO68" s="304">
        <f t="shared" si="22"/>
        <v>2.6980159876375231</v>
      </c>
      <c r="CP68" s="304">
        <f t="shared" si="23"/>
        <v>1.1730504294076187</v>
      </c>
      <c r="CQ68" s="304">
        <f t="shared" si="24"/>
        <v>2.1114907729337133</v>
      </c>
      <c r="CR68" s="304">
        <f t="shared" si="25"/>
        <v>1173.0504294076186</v>
      </c>
      <c r="CS68" s="305">
        <f t="shared" si="32"/>
        <v>0</v>
      </c>
      <c r="CV68" s="267" t="s">
        <v>167</v>
      </c>
      <c r="CW68" s="267" t="s">
        <v>167</v>
      </c>
      <c r="CX68" s="267">
        <f>INDEX($M$60:$Z$74,MATCH($CW68,$L$60:$L$74,0),MATCH(CX$61,$M$61:$Z$61,0))/INDEX(고양시_재차인원!$D$4:$H$35,MATCH("고양시",고양시_재차인원!$B$4:$B$35,0),MATCH($CX$60,고양시_재차인원!$D$4:$H$4,0))</f>
        <v>53.984551552377994</v>
      </c>
      <c r="CY68" s="267">
        <f>INDEX($M$60:$Z$74,MATCH($CW68,$L$60:$L$74,0),MATCH(CY$61,$M$61:$Z$61,0))/INDEX(고양시_재차인원!$K$4:$O$20,MATCH("경기도",고양시_재차인원!$K$4:$K$20,0),MATCH($CY$61,고양시_재차인원!$K$4:$O$4,0))</f>
        <v>4.4655080550717001E-4</v>
      </c>
      <c r="CZ68" s="267">
        <f>INDEX($M$60:$Z$74,MATCH($CW68,$L$60:$L$74,0),MATCH(CZ$61,$M$61:$Z$61,0))/INDEX(고양시_재차인원!$K$4:$O$20,MATCH("경기도",고양시_재차인원!$K$4:$K$20,0),MATCH($CZ$61,고양시_재차인원!$K$4:$O$4,0))</f>
        <v>0.12414112393099326</v>
      </c>
      <c r="DA68" s="267">
        <f>INDEX($M$60:$Z$74,MATCH($CW68,$L$60:$L$74,0),MATCH(DA$61,$M$61:$Z$61,0))/INDEX(고양시_재차인원!$D$4:$H$35,MATCH("고양시",고양시_재차인원!$B$4:$B$35,0),MATCH($CX$60,고양시_재차인원!$D$4:$H$4,0))</f>
        <v>3.4665818772736876</v>
      </c>
      <c r="DB68" s="267">
        <f>INDEX($AA$60:$AN$74,MATCH($CW68,$L$60:$L$74,0),MATCH(DB$61,$AA$61:$AN$61,0))/INDEX(고양시_재차인원!$D$4:$H$35,MATCH("고양시",고양시_재차인원!$B$4:$B$35,0),MATCH($DB$60,고양시_재차인원!$D$4:$H$4,0))</f>
        <v>333.45106423034639</v>
      </c>
      <c r="DC68" s="267">
        <f>INDEX($AA$60:$AN$74,MATCH($CW68,$L$60:$L$74,0),MATCH(DC$61,$AA$61:$AN$61,0))/INDEX(고양시_재차인원!$K$4:$O$20,MATCH("경기도",고양시_재차인원!$K$4:$K$20,0),MATCH($DC$61,고양시_재차인원!$K$4:$O$4,0))</f>
        <v>3.4724386130067543E-3</v>
      </c>
      <c r="DD68" s="267">
        <f>INDEX($AA$60:$AN$74,MATCH($CW68,$L$60:$L$74,0),MATCH(DD$61,$AA$61:$AN$61,0))/INDEX(고양시_재차인원!$K$4:$O$20,MATCH("경기도",고양시_재차인원!$K$4:$K$20,0),MATCH($DD$61,고양시_재차인원!$K$4:$O$4,0))</f>
        <v>0.96533793441587767</v>
      </c>
      <c r="DE68" s="267">
        <f>INDEX($AA$60:$AN$74,MATCH($CW68,$L$60:$L$74,0),MATCH(DE$61,$AA$61:$AN$61,0))/INDEX(고양시_재차인원!$D$4:$H$35,MATCH("고양시",고양시_재차인원!$B$4:$B$35,0),MATCH($DB$60,고양시_재차인원!$D$4:$H$4,0))</f>
        <v>21.412337103458345</v>
      </c>
      <c r="DF68" s="267">
        <f>INDEX($AO$60:$BB$74,MATCH($CW68,$L$60:$L$74,0),MATCH(DF$61,$AO$61:$BB$61,0))/INDEX(고양시_재차인원!$D$4:$H$35,MATCH("고양시",고양시_재차인원!$B$4:$B$35,0),MATCH($DF$60,고양시_재차인원!$D$4:$H$4,0))</f>
        <v>16.030979992904772</v>
      </c>
      <c r="DG68" s="267">
        <f>INDEX($AO$60:$BB$74,MATCH($CW68,$L$60:$L$74,0),MATCH(DG$61,$AO$61:$BB$61,0))/INDEX(고양시_재차인원!$K$4:$O$20,MATCH("경기도",고양시_재차인원!$K$4:$K$20,0),MATCH($DG$61,고양시_재차인원!$K$4:$O$4,0))</f>
        <v>1.5391706764053781E-4</v>
      </c>
      <c r="DH68" s="267">
        <f>INDEX($AO$60:$BB$74,MATCH($CW68,$L$60:$L$74,0),MATCH(DH$61,$AO$61:$BB$61,0))/INDEX(고양시_재차인원!$K$4:$O$20,MATCH("경기도",고양시_재차인원!$K$4:$K$20,0),MATCH($DH$61,고양시_재차인원!$K$4:$O$4,0))</f>
        <v>4.2788944804069501E-2</v>
      </c>
      <c r="DI68" s="267">
        <f>INDEX($AO$60:$BB$74,MATCH($CW68,$L$60:$L$74,0),MATCH(DI$61,$AO$61:$BB$61,0))/INDEX(고양시_재차인원!$D$4:$H$35,MATCH("고양시",고양시_재차인원!$B$4:$B$35,0),MATCH($DF$60,고양시_재차인원!$D$4:$H$4,0))</f>
        <v>1.0294186599738977</v>
      </c>
      <c r="DJ68" s="267">
        <f>INDEX($BC$60:$BP$74,MATCH($CW68,$L$60:$L$74,0),MATCH(DJ$61,$BC$61:$BP$61,0))/INDEX(고양시_재차인원!$D$4:$H$35,MATCH("고양시",고양시_재차인원!$B$4:$B$35,0),MATCH($DJ$60,고양시_재차인원!$D$4:$H$4,0))</f>
        <v>4.1555880340530607E-2</v>
      </c>
      <c r="DK68" s="267">
        <f>INDEX($BC$60:$BP$74,MATCH($CW68,$L$60:$L$74,0),MATCH(DK$61,$BC$61:$BP$61,0))/INDEX(고양시_재차인원!$K$4:$O$20,MATCH("경기도",고양시_재차인원!$K$4:$K$20,0),MATCH($DK$61,고양시_재차인원!$K$4:$O$4,0))</f>
        <v>4.1740221733026986E-7</v>
      </c>
      <c r="DL68" s="267">
        <f>INDEX($BC$60:$BP$74,MATCH($CW68,$L$60:$L$74,0),MATCH(DL$61,$BC$61:$BP$61,0))/INDEX(고양시_재차인원!$K$4:$O$20,MATCH("경기도",고양시_재차인원!$K$4:$K$20,0),MATCH($DL$61,고양시_재차인원!$K$4:$O$4,0))</f>
        <v>1.1603781641781501E-4</v>
      </c>
      <c r="DM68" s="267">
        <f>INDEX($BC$60:$BP$74,MATCH($CW68,$L$60:$L$74,0),MATCH(DM$61,$BC$61:$BP$61,0))/INDEX(고양시_재차인원!$D$4:$H$35,MATCH("고양시",고양시_재차인원!$B$4:$B$35,0),MATCH($DJ$60,고양시_재차인원!$D$4:$H$4,0))</f>
        <v>2.6684830667319244E-3</v>
      </c>
      <c r="DN68" s="267">
        <f>INDEX($BQ$60:$CD$74,MATCH($CW68,$L$60:$L$74,0),MATCH(DN$61,$BQ$61:$CD$61,0))/INDEX(고양시_재차인원!$D$4:$H$35,MATCH("고양시",고양시_재차인원!$B$4:$B$35,0),MATCH($DN$60,고양시_재차인원!$D$4:$H$4,0))</f>
        <v>0.12708623723188825</v>
      </c>
      <c r="DO68" s="267">
        <f>INDEX($BQ$60:$CD$74,MATCH($CW68,$L$60:$L$74,0),MATCH(DO$61,$BQ$61:$CD$61,0))/INDEX(고양시_재차인원!$K$4:$O$20,MATCH("경기도",고양시_재차인원!$K$4:$K$20,0),MATCH($DO$61,고양시_재차인원!$K$4:$O$4,0))</f>
        <v>1.1826396157691073E-6</v>
      </c>
      <c r="DP68" s="267">
        <f>INDEX($BQ$60:$CD$74,MATCH($CW68,$L$60:$L$74,0),MATCH(DP$61,$BQ$61:$CD$61,0))/INDEX(고양시_재차인원!$K$4:$O$20,MATCH("경기도",고양시_재차인원!$K$4:$K$20,0),MATCH($DP$61,고양시_재차인원!$K$4:$O$4,0))</f>
        <v>3.2877381318381182E-4</v>
      </c>
      <c r="DQ68" s="267">
        <f>INDEX($BQ$60:$CD$74,MATCH($CW68,$L$60:$L$74,0),MATCH(DQ$61,$BQ$61:$CD$61,0))/INDEX(고양시_재차인원!$D$4:$H$35,MATCH("고양시",고양시_재차인원!$B$4:$B$35,0),MATCH($DN$60,고양시_재차인원!$D$4:$H$4,0))</f>
        <v>8.1607577384712419E-3</v>
      </c>
      <c r="DR68" s="270">
        <f t="shared" si="33"/>
        <v>403.63523789320152</v>
      </c>
      <c r="DS68" s="270">
        <f t="shared" si="26"/>
        <v>4.074506527987562E-3</v>
      </c>
      <c r="DT68" s="270">
        <f t="shared" si="27"/>
        <v>1.1327128147805421</v>
      </c>
      <c r="DU68" s="270">
        <f t="shared" si="28"/>
        <v>25.919166881511131</v>
      </c>
      <c r="DW68" s="278" t="s">
        <v>167</v>
      </c>
      <c r="DX68" s="278" t="s">
        <v>167</v>
      </c>
      <c r="DY68" s="281">
        <f t="shared" si="41"/>
        <v>429.55440477471268</v>
      </c>
      <c r="DZ68" s="281">
        <f t="shared" si="42"/>
        <v>1.1367873213085296</v>
      </c>
      <c r="EB68" s="278" t="s">
        <v>168</v>
      </c>
      <c r="EC68" s="278" t="s">
        <v>168</v>
      </c>
      <c r="ED68" s="281">
        <f>DY69</f>
        <v>1631.2328431288277</v>
      </c>
      <c r="EE68" s="281">
        <f t="shared" ref="EE68:EE73" si="44">DZ69</f>
        <v>4.3169498288429162</v>
      </c>
      <c r="EK68" s="420" t="s">
        <v>168</v>
      </c>
      <c r="EL68" s="420" t="s">
        <v>168</v>
      </c>
      <c r="EM68" s="420" t="s">
        <v>569</v>
      </c>
      <c r="EN68" s="420">
        <v>63163.374600000003</v>
      </c>
      <c r="EO68" s="420">
        <v>0.3749310795992149</v>
      </c>
      <c r="EP68" s="421">
        <v>849007</v>
      </c>
      <c r="EQ68" s="422">
        <f t="shared" si="37"/>
        <v>594.16929405985638</v>
      </c>
      <c r="ER68" s="422">
        <f t="shared" si="38"/>
        <v>1.5724297380964645</v>
      </c>
      <c r="ES68">
        <v>0</v>
      </c>
      <c r="EU68" s="306" t="s">
        <v>168</v>
      </c>
      <c r="EV68" s="306" t="s">
        <v>168</v>
      </c>
      <c r="EW68" s="306" t="s">
        <v>569</v>
      </c>
      <c r="EX68" s="306">
        <v>63163.374600000003</v>
      </c>
      <c r="EY68" s="306">
        <v>0.3749310795992149</v>
      </c>
      <c r="EZ68" s="307">
        <v>849007</v>
      </c>
      <c r="FA68" s="308">
        <f t="shared" si="39"/>
        <v>594.16929405985638</v>
      </c>
      <c r="FB68" s="308">
        <f t="shared" si="30"/>
        <v>1.5724297380964645</v>
      </c>
      <c r="FD68" s="101"/>
      <c r="FE68" s="101"/>
      <c r="FF68" s="101"/>
      <c r="FG68" s="101"/>
      <c r="FH68" s="101"/>
      <c r="FI68" s="374"/>
      <c r="FJ68" s="404"/>
      <c r="FK68" s="404"/>
    </row>
    <row r="69" spans="1:167">
      <c r="A69" s="205" t="s">
        <v>168</v>
      </c>
      <c r="B69" s="205" t="s">
        <v>168</v>
      </c>
      <c r="C69" s="201">
        <f>$L36*KTDB_TripDistribution_2040!L$12</f>
        <v>488.21410460412619</v>
      </c>
      <c r="D69" s="201">
        <f>$L36*KTDB_TripDistribution_2040!M$12</f>
        <v>3796.4179827566463</v>
      </c>
      <c r="E69" s="201">
        <f>$L36*KTDB_TripDistribution_2040!N$12</f>
        <v>168.27756760190482</v>
      </c>
      <c r="F69" s="201">
        <f>$L36*KTDB_TripDistribution_2040!O$12</f>
        <v>0.4563459460390617</v>
      </c>
      <c r="G69" s="201">
        <f>$L36*KTDB_TripDistribution_2040!P$12</f>
        <v>1.2929801804440184</v>
      </c>
      <c r="H69" s="201">
        <f>$L36*KTDB_TripDistribution_2040!Q$12</f>
        <v>4454.6589810891601</v>
      </c>
      <c r="I69" s="56"/>
      <c r="J69" s="56"/>
      <c r="K69" s="206" t="s">
        <v>168</v>
      </c>
      <c r="L69" s="206" t="s">
        <v>168</v>
      </c>
      <c r="M69" s="206">
        <f>INDEX($A$61:$H$74,MATCH($L69,$B$61:$B$74,0),MATCH($M$60,$A$61:$H$61,0))*고양시_Modal_split!C$3 * 0.01</f>
        <v>1.3669994928915532</v>
      </c>
      <c r="N69" s="206">
        <f>INDEX($A$61:$H$74,MATCH($L69,$B$61:$B$74,0),MATCH($M$60,$A$61:$H$61,0))*고양시_Modal_split!D$3 * 0.01</f>
        <v>229.60709339532056</v>
      </c>
      <c r="O69" s="206">
        <f>INDEX($A$61:$H$74,MATCH($L69,$B$61:$B$74,0),MATCH($M$60,$A$61:$H$61,0))*고양시_Modal_split!E$3 * 0.01</f>
        <v>27.779382551974777</v>
      </c>
      <c r="P69" s="206">
        <f>INDEX($A$61:$H$74,MATCH($L69,$B$61:$B$74,0),MATCH($M$60,$A$61:$H$61,0))*고양시_Modal_split!F$3 * 0.01</f>
        <v>44.769233392198373</v>
      </c>
      <c r="Q69" s="206">
        <f>INDEX($A$61:$H$74,MATCH($L69,$B$61:$B$74,0),MATCH($M$60,$A$61:$H$61,0))*고양시_Modal_split!G$3 * 0.01</f>
        <v>4.4915697623579609</v>
      </c>
      <c r="R69" s="206">
        <f>INDEX($A$61:$H$74,MATCH($L69,$B$61:$B$74,0),MATCH($M$60,$A$61:$H$61,0))*고양시_Modal_split!H$3 * 0.01</f>
        <v>4.882141046041262E-2</v>
      </c>
      <c r="S69" s="206">
        <f>INDEX($A$61:$H$74,MATCH($L69,$B$61:$B$74,0),MATCH($M$60,$A$61:$H$61,0))*고양시_Modal_split!I$3 * 0.01</f>
        <v>13.572352107994707</v>
      </c>
      <c r="T69" s="206">
        <f>INDEX($A$61:$H$74,MATCH($L69,$B$61:$B$74,0),MATCH($M$60,$A$61:$H$61,0))*고양시_Modal_split!J$3 * 0.01</f>
        <v>148.61237344149603</v>
      </c>
      <c r="U69" s="206">
        <f>INDEX($A$61:$H$74,MATCH($L69,$B$61:$B$74,0),MATCH($M$60,$A$61:$H$61,0))*고양시_Modal_split!K$3 * 0.01</f>
        <v>0.73232115690618926</v>
      </c>
      <c r="V69" s="206">
        <f>INDEX($A$61:$H$74,MATCH($L69,$B$61:$B$74,0),MATCH($M$60,$A$61:$H$61,0))*고양시_Modal_split!L$3 * 0.01</f>
        <v>14.74406595904461</v>
      </c>
      <c r="W69" s="206">
        <f>INDEX($A$61:$H$74,MATCH($L69,$B$61:$B$74,0),MATCH($M$60,$A$61:$H$61,0))*고양시_Modal_split!M$3 * 0.01</f>
        <v>1.1228924405894902</v>
      </c>
      <c r="X69" s="206">
        <f>INDEX($A$61:$H$74,MATCH($L69,$B$61:$B$74,0),MATCH($M$60,$A$61:$H$61,0))*고양시_Modal_split!N$3 * 0.01</f>
        <v>0.48821410460412623</v>
      </c>
      <c r="Y69" s="206">
        <f>INDEX($A$61:$H$74,MATCH($L69,$B$61:$B$74,0),MATCH($M$60,$A$61:$H$61,0))*고양시_Modal_split!O$3 * 0.01</f>
        <v>0.87878538828742703</v>
      </c>
      <c r="Z69" s="209">
        <f>INDEX($A$61:$H$74,MATCH($L69,$B$61:$B$74,0),MATCH($M$60,$A$61:$H$61,0))*고양시_Modal_split!P$3 * 0.01</f>
        <v>488.21410460412619</v>
      </c>
      <c r="AA69" s="207">
        <f>INDEX($A$61:$H$74,MATCH($L69,$B$61:$B$74,0),MATCH($AA$60,$A$61:$H$61,0))*고양시_Modal_split!C$3 * 0.01</f>
        <v>10.62997035171861</v>
      </c>
      <c r="AB69" s="207">
        <f>INDEX($A$61:$H$74,MATCH($L69,$B$61:$B$74,0),MATCH($AA$60,$A$61:$H$61,0))*고양시_Modal_split!D$3 * 0.01</f>
        <v>1785.455377290451</v>
      </c>
      <c r="AC69" s="207">
        <f>INDEX($A$61:$H$74,MATCH($L69,$B$61:$B$74,0),MATCH($AA$60,$A$61:$H$61,0))*고양시_Modal_split!E$3 * 0.01</f>
        <v>216.01618321885314</v>
      </c>
      <c r="AD69" s="207">
        <f>INDEX($A$61:$H$74,MATCH($L69,$B$61:$B$74,0),MATCH($AA$60,$A$61:$H$61,0))*고양시_Modal_split!F$3 * 0.01</f>
        <v>348.13152901878448</v>
      </c>
      <c r="AE69" s="207">
        <f>INDEX($A$61:$H$74,MATCH($L69,$B$61:$B$74,0),MATCH($AA$60,$A$61:$H$61,0))*고양시_Modal_split!G$3 * 0.01</f>
        <v>34.927045441361145</v>
      </c>
      <c r="AF69" s="207">
        <f>INDEX($A$61:$H$74,MATCH($L69,$B$61:$B$74,0),MATCH($AA$60,$A$61:$H$61,0))*고양시_Modal_split!H$3 * 0.01</f>
        <v>0.37964179827566463</v>
      </c>
      <c r="AG69" s="207">
        <f>INDEX($A$61:$H$74,MATCH($L69,$B$61:$B$74,0),MATCH($AA$60,$A$61:$H$61,0))*고양시_Modal_split!I$3 * 0.01</f>
        <v>105.54041992063476</v>
      </c>
      <c r="AH69" s="207">
        <f>INDEX($A$61:$H$74,MATCH($L69,$B$61:$B$74,0),MATCH($AA$60,$A$61:$H$61,0))*고양시_Modal_split!J$3 * 0.01</f>
        <v>1155.6296339511232</v>
      </c>
      <c r="AI69" s="207">
        <f>INDEX($A$61:$H$74,MATCH($L69,$B$61:$B$74,0),MATCH($AA$60,$A$61:$H$61,0))*고양시_Modal_split!K$3 * 0.01</f>
        <v>5.6946269741349695</v>
      </c>
      <c r="AJ69" s="207">
        <f>INDEX($A$61:$H$74,MATCH($L69,$B$61:$B$74,0),MATCH($AA$60,$A$61:$H$61,0))*고양시_Modal_split!L$3 * 0.01</f>
        <v>114.65182307925072</v>
      </c>
      <c r="AK69" s="207">
        <f>INDEX($A$61:$H$74,MATCH($L69,$B$61:$B$74,0),MATCH($AA$60,$A$61:$H$61,0))*고양시_Modal_split!M$3 * 0.01</f>
        <v>8.7317613603402862</v>
      </c>
      <c r="AL69" s="207">
        <f>INDEX($A$61:$H$74,MATCH($L69,$B$61:$B$74,0),MATCH($AA$60,$A$61:$H$61,0))*고양시_Modal_split!N$3 * 0.01</f>
        <v>3.7964179827566467</v>
      </c>
      <c r="AM69" s="207">
        <f>INDEX($A$61:$H$74,MATCH($L69,$B$61:$B$74,0),MATCH($AA$60,$A$61:$H$61,0))*고양시_Modal_split!O$3 * 0.01</f>
        <v>6.8335523689619633</v>
      </c>
      <c r="AN69" s="207">
        <f>INDEX($A$61:$H$74,MATCH($L69,$B$61:$B$74,0),MATCH($AA$60,$A$61:$H$61,0))*고양시_Modal_split!P$3 * 0.01</f>
        <v>3796.4179827566463</v>
      </c>
      <c r="AO69" s="303">
        <f>INDEX($A$61:$H$74,MATCH($L69,$B$61:$B$74,0),MATCH($AO$60,$A$61:$H$61,0))*고양시_Modal_split!C$3 * 0.01</f>
        <v>0.47117718928533342</v>
      </c>
      <c r="AP69" s="303">
        <f>INDEX($A$61:$H$74,MATCH($L69,$B$61:$B$74,0),MATCH($AO$60,$A$61:$H$61,0))*고양시_Modal_split!D$3 * 0.01</f>
        <v>79.140940043175846</v>
      </c>
      <c r="AQ69" s="303">
        <f>INDEX($A$61:$H$74,MATCH($L69,$B$61:$B$74,0),MATCH($AO$60,$A$61:$H$61,0))*고양시_Modal_split!E$3 * 0.01</f>
        <v>9.5749935965483832</v>
      </c>
      <c r="AR69" s="303">
        <f>INDEX($A$61:$H$74,MATCH($L69,$B$61:$B$74,0),MATCH($AO$60,$A$61:$H$61,0))*고양시_Modal_split!F$3 * 0.01</f>
        <v>15.431052949094672</v>
      </c>
      <c r="AS69" s="303">
        <f>INDEX($A$61:$H$74,MATCH($L69,$B$61:$B$74,0),MATCH($AO$60,$A$61:$H$61,0))*고양시_Modal_split!G$3 * 0.01</f>
        <v>1.5481536219375245</v>
      </c>
      <c r="AT69" s="303">
        <f>INDEX($A$61:$H$74,MATCH($L69,$B$61:$B$74,0),MATCH($AO$60,$A$61:$H$61,0))*고양시_Modal_split!H$3 * 0.01</f>
        <v>1.6827756760190483E-2</v>
      </c>
      <c r="AU69" s="303">
        <f>INDEX($A$61:$H$74,MATCH($L69,$B$61:$B$74,0),MATCH($AO$60,$A$61:$H$61,0))*고양시_Modal_split!I$3 * 0.01</f>
        <v>4.6781163793329537</v>
      </c>
      <c r="AV69" s="303">
        <f>INDEX($A$61:$H$74,MATCH($L69,$B$61:$B$74,0),MATCH($AO$60,$A$61:$H$61,0))*고양시_Modal_split!J$3 * 0.01</f>
        <v>51.223691578019825</v>
      </c>
      <c r="AW69" s="303">
        <f>INDEX($A$61:$H$74,MATCH($L69,$B$61:$B$74,0),MATCH($AO$60,$A$61:$H$61,0))*고양시_Modal_split!K$3 * 0.01</f>
        <v>0.25241635140285723</v>
      </c>
      <c r="AX69" s="303">
        <f>INDEX($A$61:$H$74,MATCH($L69,$B$61:$B$74,0),MATCH($AO$60,$A$61:$H$61,0))*고양시_Modal_split!L$3 * 0.01</f>
        <v>5.0819825415775259</v>
      </c>
      <c r="AY69" s="303">
        <f>INDEX($A$61:$H$74,MATCH($L69,$B$61:$B$74,0),MATCH($AO$60,$A$61:$H$61,0))*고양시_Modal_split!M$3 * 0.01</f>
        <v>0.38703840548438112</v>
      </c>
      <c r="AZ69" s="303">
        <f>INDEX($A$61:$H$74,MATCH($L69,$B$61:$B$74,0),MATCH($AO$60,$A$61:$H$61,0))*고양시_Modal_split!N$3 * 0.01</f>
        <v>0.16827756760190482</v>
      </c>
      <c r="BA69" s="207">
        <f>INDEX($A$61:$H$74,MATCH($L69,$B$61:$B$74,0),MATCH($AO$60,$A$61:$H$61,0))*고양시_Modal_split!O$3 * 0.01</f>
        <v>0.30289962168342871</v>
      </c>
      <c r="BB69" s="207">
        <f>INDEX($A$61:$H$74,MATCH($L69,$B$61:$B$74,0),MATCH($AO$60,$A$61:$H$61,0))*고양시_Modal_split!P$3 * 0.01</f>
        <v>168.27756760190482</v>
      </c>
      <c r="BC69" s="207">
        <f>INDEX($A$61:$H$74,MATCH($L69,$B$61:$B$74,0),MATCH($BC$60,$A$61:$H$61,0))*고양시_Modal_split!C$3 * 0.01</f>
        <v>1.2777686489093725E-3</v>
      </c>
      <c r="BD69" s="207">
        <f>INDEX($A$61:$H$74,MATCH($L69,$B$61:$B$74,0),MATCH($BC$60,$A$61:$H$61,0))*고양시_Modal_split!D$3 * 0.01</f>
        <v>0.21461949842217073</v>
      </c>
      <c r="BE69" s="207">
        <f>INDEX($A$61:$H$74,MATCH($L69,$B$61:$B$74,0),MATCH($BC$60,$A$61:$H$61,0))*고양시_Modal_split!E$3 * 0.01</f>
        <v>2.5966084329622611E-2</v>
      </c>
      <c r="BF69" s="207">
        <f>INDEX($A$61:$H$74,MATCH($L69,$B$61:$B$74,0),MATCH($BC$60,$A$61:$H$61,0))*고양시_Modal_split!F$3 * 0.01</f>
        <v>4.1846923251781958E-2</v>
      </c>
      <c r="BG69" s="207">
        <f>INDEX($A$61:$H$74,MATCH($L69,$B$61:$B$74,0),MATCH($BC$60,$A$61:$H$61,0))*고양시_Modal_split!G$3 * 0.01</f>
        <v>4.1983827035593675E-3</v>
      </c>
      <c r="BH69" s="207">
        <f>INDEX($A$61:$H$74,MATCH($L69,$B$61:$B$74,0),MATCH($BC$60,$A$61:$H$61,0))*고양시_Modal_split!H$3 * 0.01</f>
        <v>4.5634594603906169E-5</v>
      </c>
      <c r="BI69" s="207">
        <f>INDEX($A$61:$H$74,MATCH($L69,$B$61:$B$74,0),MATCH($BC$60,$A$61:$H$61,0))*고양시_Modal_split!I$3 * 0.01</f>
        <v>1.2686417299885915E-2</v>
      </c>
      <c r="BJ69" s="207">
        <f>INDEX($A$61:$H$74,MATCH($L69,$B$61:$B$74,0),MATCH($BC$60,$A$61:$H$61,0))*고양시_Modal_split!J$3 * 0.01</f>
        <v>0.13891170597429039</v>
      </c>
      <c r="BK69" s="207">
        <f>INDEX($A$61:$H$74,MATCH($L69,$B$61:$B$74,0),MATCH($BC$60,$A$61:$H$61,0))*고양시_Modal_split!K$3 * 0.01</f>
        <v>6.8451891905859253E-4</v>
      </c>
      <c r="BL69" s="207">
        <f>INDEX($A$61:$H$74,MATCH($L69,$B$61:$B$74,0),MATCH($BC$60,$A$61:$H$61,0))*고양시_Modal_split!L$3 * 0.01</f>
        <v>1.3781647570379663E-2</v>
      </c>
      <c r="BM69" s="207">
        <f>INDEX($A$61:$H$74,MATCH($L69,$B$61:$B$74,0),MATCH($BC$60,$A$61:$H$61,0))*고양시_Modal_split!M$3 * 0.01</f>
        <v>1.0495956758898419E-3</v>
      </c>
      <c r="BN69" s="207">
        <f>INDEX($A$61:$H$74,MATCH($L69,$B$61:$B$74,0),MATCH($BC$60,$A$61:$H$61,0))*고양시_Modal_split!N$3 * 0.01</f>
        <v>4.5634594603906174E-4</v>
      </c>
      <c r="BO69" s="207">
        <f>INDEX($A$61:$H$74,MATCH($L69,$B$61:$B$74,0),MATCH($BC$60,$A$61:$H$61,0))*고양시_Modal_split!O$3 * 0.01</f>
        <v>8.2142270287031104E-4</v>
      </c>
      <c r="BP69" s="207">
        <f>INDEX($A$61:$H$74,MATCH($L69,$B$61:$B$74,0),MATCH($BC$60,$A$61:$H$61,0))*고양시_Modal_split!P$3 * 0.01</f>
        <v>0.45634594603906176</v>
      </c>
      <c r="BQ69" s="207">
        <f>INDEX($A$61:$H$74,MATCH($L69,$B$61:$B$74,0),MATCH($BQ$60,$A$61:$H$61,0))*고양시_Modal_split!C$3 * 0.01</f>
        <v>3.620344505243251E-3</v>
      </c>
      <c r="BR69" s="207">
        <f>INDEX($A$61:$H$74,MATCH($L69,$B$61:$B$74,0),MATCH($BQ$60,$A$61:$H$61,0))*고양시_Modal_split!D$3 * 0.01</f>
        <v>0.60808857886282197</v>
      </c>
      <c r="BS69" s="207">
        <f>INDEX($A$61:$H$74,MATCH($L69,$B$61:$B$74,0),MATCH($BQ$60,$A$61:$H$61,0))*고양시_Modal_split!E$3 * 0.01</f>
        <v>7.3570572267264642E-2</v>
      </c>
      <c r="BT69" s="207">
        <f>INDEX($A$61:$H$74,MATCH($L69,$B$61:$B$74,0),MATCH($BQ$60,$A$61:$H$61,0))*고양시_Modal_split!F$3 * 0.01</f>
        <v>0.11856628254671649</v>
      </c>
      <c r="BU69" s="207">
        <f>INDEX($A$61:$H$74,MATCH($L69,$B$61:$B$74,0),MATCH($BQ$60,$A$61:$H$61,0))*고양시_Modal_split!G$3 * 0.01</f>
        <v>1.1895417660084968E-2</v>
      </c>
      <c r="BV69" s="207">
        <f>INDEX($A$61:$H$74,MATCH($L69,$B$61:$B$74,0),MATCH($BQ$60,$A$61:$H$61,0))*고양시_Modal_split!H$3 * 0.01</f>
        <v>1.2929801804440185E-4</v>
      </c>
      <c r="BW69" s="207">
        <f>INDEX($A$61:$H$74,MATCH($L69,$B$61:$B$74,0),MATCH($BQ$60,$A$61:$H$61,0))*고양시_Modal_split!I$3 * 0.01</f>
        <v>3.5944849016343705E-2</v>
      </c>
      <c r="BX69" s="207">
        <f>INDEX($A$61:$H$74,MATCH($L69,$B$61:$B$74,0),MATCH($BQ$60,$A$61:$H$61,0))*고양시_Modal_split!J$3 * 0.01</f>
        <v>0.39358316692715922</v>
      </c>
      <c r="BY69" s="207">
        <f>INDEX($A$61:$H$74,MATCH($L69,$B$61:$B$74,0),MATCH($BQ$60,$A$61:$H$61,0))*고양시_Modal_split!K$3 * 0.01</f>
        <v>1.9394702706660276E-3</v>
      </c>
      <c r="BZ69" s="207">
        <f>INDEX($A$61:$H$74,MATCH($L69,$B$61:$B$74,0),MATCH($BQ$60,$A$61:$H$61,0))*고양시_Modal_split!L$3 * 0.01</f>
        <v>3.9048001449409356E-2</v>
      </c>
      <c r="CA69" s="207">
        <f>INDEX($A$61:$H$74,MATCH($L69,$B$61:$B$74,0),MATCH($BQ$60,$A$61:$H$61,0))*고양시_Modal_split!M$3 * 0.01</f>
        <v>2.9738544150212419E-3</v>
      </c>
      <c r="CB69" s="207">
        <f>INDEX($A$61:$H$74,MATCH($L69,$B$61:$B$74,0),MATCH($BQ$60,$A$61:$H$61,0))*고양시_Modal_split!N$3 * 0.01</f>
        <v>1.2929801804440187E-3</v>
      </c>
      <c r="CC69" s="207">
        <f>INDEX($A$61:$H$74,MATCH($L69,$B$61:$B$74,0),MATCH($BQ$60,$A$61:$H$61,0))*고양시_Modal_split!O$3 * 0.01</f>
        <v>2.3273643247992333E-3</v>
      </c>
      <c r="CD69" s="207">
        <f>INDEX($A$61:$H$74,MATCH($L69,$B$61:$B$74,0),MATCH($BQ$60,$A$61:$H$61,0))*고양시_Modal_split!P$3 * 0.01</f>
        <v>1.2929801804440184</v>
      </c>
      <c r="CE69" s="304">
        <f t="shared" si="31"/>
        <v>12.47304514704965</v>
      </c>
      <c r="CF69" s="304">
        <f t="shared" si="13"/>
        <v>2095.0261188062323</v>
      </c>
      <c r="CG69" s="304">
        <f t="shared" si="14"/>
        <v>253.47009602397318</v>
      </c>
      <c r="CH69" s="304">
        <f t="shared" si="15"/>
        <v>408.49222856587608</v>
      </c>
      <c r="CI69" s="304">
        <f t="shared" si="16"/>
        <v>40.982862626020271</v>
      </c>
      <c r="CJ69" s="304">
        <f t="shared" si="17"/>
        <v>0.44546589810891601</v>
      </c>
      <c r="CK69" s="304">
        <f t="shared" si="18"/>
        <v>123.83951967427865</v>
      </c>
      <c r="CL69" s="304">
        <f t="shared" si="19"/>
        <v>1355.9981938435403</v>
      </c>
      <c r="CM69" s="304">
        <f t="shared" si="20"/>
        <v>6.6819884716337405</v>
      </c>
      <c r="CN69" s="304">
        <f t="shared" si="21"/>
        <v>134.53070122889264</v>
      </c>
      <c r="CO69" s="304">
        <f t="shared" si="22"/>
        <v>10.245715656505068</v>
      </c>
      <c r="CP69" s="304">
        <f t="shared" si="23"/>
        <v>4.4546589810891604</v>
      </c>
      <c r="CQ69" s="304">
        <f t="shared" si="24"/>
        <v>8.0183861659604876</v>
      </c>
      <c r="CR69" s="304">
        <f t="shared" si="25"/>
        <v>4454.6589810891601</v>
      </c>
      <c r="CS69" s="305">
        <f t="shared" si="32"/>
        <v>0</v>
      </c>
      <c r="CV69" s="267" t="s">
        <v>168</v>
      </c>
      <c r="CW69" s="267" t="s">
        <v>168</v>
      </c>
      <c r="CX69" s="267">
        <f>INDEX($M$60:$Z$74,MATCH($CW69,$L$60:$L$74,0),MATCH(CX$61,$M$61:$Z$61,0))/INDEX(고양시_재차인원!$D$4:$H$35,MATCH("고양시",고양시_재차인원!$B$4:$B$35,0),MATCH($CX$60,고양시_재차인원!$D$4:$H$4,0))</f>
        <v>205.00633338867905</v>
      </c>
      <c r="CY69" s="267">
        <f>INDEX($M$60:$Z$74,MATCH($CW69,$L$60:$L$74,0),MATCH(CY$61,$M$61:$Z$61,0))/INDEX(고양시_재차인원!$K$4:$O$20,MATCH("경기도",고양시_재차인원!$K$4:$K$20,0),MATCH($CY$61,고양시_재차인원!$K$4:$O$4,0))</f>
        <v>1.6957766745541029E-3</v>
      </c>
      <c r="CZ69" s="267">
        <f>INDEX($M$60:$Z$74,MATCH($CW69,$L$60:$L$74,0),MATCH(CZ$61,$M$61:$Z$61,0))/INDEX(고양시_재차인원!$K$4:$O$20,MATCH("경기도",고양시_재차인원!$K$4:$K$20,0),MATCH($CZ$61,고양시_재차인원!$K$4:$O$4,0))</f>
        <v>0.47142591552604057</v>
      </c>
      <c r="DA69" s="267">
        <f>INDEX($M$60:$Z$74,MATCH($CW69,$L$60:$L$74,0),MATCH(DA$61,$M$61:$Z$61,0))/INDEX(고양시_재차인원!$D$4:$H$35,MATCH("고양시",고양시_재차인원!$B$4:$B$35,0),MATCH($CX$60,고양시_재차인원!$D$4:$H$4,0))</f>
        <v>13.164344606289829</v>
      </c>
      <c r="DB69" s="267">
        <f>INDEX($AA$60:$AN$74,MATCH($CW69,$L$60:$L$74,0),MATCH(DB$61,$AA$61:$AN$61,0))/INDEX(고양시_재차인원!$D$4:$H$35,MATCH("고양시",고양시_재차인원!$B$4:$B$35,0),MATCH($DB$60,고양시_재차인원!$D$4:$H$4,0))</f>
        <v>1266.2804094258518</v>
      </c>
      <c r="DC69" s="267">
        <f>INDEX($AA$60:$AN$74,MATCH($CW69,$L$60:$L$74,0),MATCH(DC$61,$AA$61:$AN$61,0))/INDEX(고양시_재차인원!$K$4:$O$20,MATCH("경기도",고양시_재차인원!$K$4:$K$20,0),MATCH($DC$61,고양시_재차인원!$K$4:$O$4,0))</f>
        <v>1.3186585560113396E-2</v>
      </c>
      <c r="DD69" s="267">
        <f>INDEX($AA$60:$AN$74,MATCH($CW69,$L$60:$L$74,0),MATCH(DD$61,$AA$61:$AN$61,0))/INDEX(고양시_재차인원!$K$4:$O$20,MATCH("경기도",고양시_재차인원!$K$4:$K$20,0),MATCH($DD$61,고양시_재차인원!$K$4:$O$4,0))</f>
        <v>3.6658707857115238</v>
      </c>
      <c r="DE69" s="267">
        <f>INDEX($AA$60:$AN$74,MATCH($CW69,$L$60:$L$74,0),MATCH(DE$61,$AA$61:$AN$61,0))/INDEX(고양시_재차인원!$D$4:$H$35,MATCH("고양시",고양시_재차인원!$B$4:$B$35,0),MATCH($DB$60,고양시_재차인원!$D$4:$H$4,0))</f>
        <v>81.313349701596252</v>
      </c>
      <c r="DF69" s="267">
        <f>INDEX($AO$60:$BB$74,MATCH($CW69,$L$60:$L$74,0),MATCH(DF$61,$AO$61:$BB$61,0))/INDEX(고양시_재차인원!$D$4:$H$35,MATCH("고양시",고양시_재차인원!$B$4:$B$35,0),MATCH($DF$60,고양시_재차인원!$D$4:$H$4,0))</f>
        <v>60.877646187058339</v>
      </c>
      <c r="DG69" s="267">
        <f>INDEX($AO$60:$BB$74,MATCH($CW69,$L$60:$L$74,0),MATCH(DG$61,$AO$61:$BB$61,0))/INDEX(고양시_재차인원!$K$4:$O$20,MATCH("경기도",고양시_재차인원!$K$4:$K$20,0),MATCH($DG$61,고양시_재차인원!$K$4:$O$4,0))</f>
        <v>5.8450006113895388E-4</v>
      </c>
      <c r="DH69" s="267">
        <f>INDEX($AO$60:$BB$74,MATCH($CW69,$L$60:$L$74,0),MATCH(DH$61,$AO$61:$BB$61,0))/INDEX(고양시_재차인원!$K$4:$O$20,MATCH("경기도",고양시_재차인원!$K$4:$K$20,0),MATCH($DH$61,고양시_재차인원!$K$4:$O$4,0))</f>
        <v>0.16249101699662916</v>
      </c>
      <c r="DI69" s="267">
        <f>INDEX($AO$60:$BB$74,MATCH($CW69,$L$60:$L$74,0),MATCH(DI$61,$AO$61:$BB$61,0))/INDEX(고양시_재차인원!$D$4:$H$35,MATCH("고양시",고양시_재차인원!$B$4:$B$35,0),MATCH($DF$60,고양시_재차인원!$D$4:$H$4,0))</f>
        <v>3.9092173396750196</v>
      </c>
      <c r="DJ69" s="267">
        <f>INDEX($BC$60:$BP$74,MATCH($CW69,$L$60:$L$74,0),MATCH(DJ$61,$BC$61:$BP$61,0))/INDEX(고양시_재차인원!$D$4:$H$35,MATCH("고양시",고양시_재차인원!$B$4:$B$35,0),MATCH($DJ$60,고양시_재차인원!$D$4:$H$4,0))</f>
        <v>0.15780845472218435</v>
      </c>
      <c r="DK69" s="267">
        <f>INDEX($BC$60:$BP$74,MATCH($CW69,$L$60:$L$74,0),MATCH(DK$61,$BC$61:$BP$61,0))/INDEX(고양시_재차인원!$K$4:$O$20,MATCH("경기도",고양시_재차인원!$K$4:$K$20,0),MATCH($DK$61,고양시_재차인원!$K$4:$O$4,0))</f>
        <v>1.5850849115632571E-6</v>
      </c>
      <c r="DL69" s="267">
        <f>INDEX($BC$60:$BP$74,MATCH($CW69,$L$60:$L$74,0),MATCH(DL$61,$BC$61:$BP$61,0))/INDEX(고양시_재차인원!$K$4:$O$20,MATCH("경기도",고양시_재차인원!$K$4:$K$20,0),MATCH($DL$61,고양시_재차인원!$K$4:$O$4,0))</f>
        <v>4.4065360541458543E-4</v>
      </c>
      <c r="DM69" s="267">
        <f>INDEX($BC$60:$BP$74,MATCH($CW69,$L$60:$L$74,0),MATCH(DM$61,$BC$61:$BP$61,0))/INDEX(고양시_재차인원!$D$4:$H$35,MATCH("고양시",고양시_재차인원!$B$4:$B$35,0),MATCH($DJ$60,고양시_재차인원!$D$4:$H$4,0))</f>
        <v>1.0133564389985045E-2</v>
      </c>
      <c r="DN69" s="267">
        <f>INDEX($BQ$60:$CD$74,MATCH($CW69,$L$60:$L$74,0),MATCH(DN$61,$BQ$61:$CD$61,0))/INDEX(고양시_재차인원!$D$4:$H$35,MATCH("고양시",고양시_재차인원!$B$4:$B$35,0),MATCH($DN$60,고양시_재차인원!$D$4:$H$4,0))</f>
        <v>0.48260998322446186</v>
      </c>
      <c r="DO69" s="267">
        <f>INDEX($BQ$60:$CD$74,MATCH($CW69,$L$60:$L$74,0),MATCH(DO$61,$BQ$61:$CD$61,0))/INDEX(고양시_재차인원!$K$4:$O$20,MATCH("경기도",고양시_재차인원!$K$4:$K$20,0),MATCH($DO$61,고양시_재차인원!$K$4:$O$4,0))</f>
        <v>4.4910739160959306E-6</v>
      </c>
      <c r="DP69" s="267">
        <f>INDEX($BQ$60:$CD$74,MATCH($CW69,$L$60:$L$74,0),MATCH(DP$61,$BQ$61:$CD$61,0))/INDEX(고양시_재차인원!$K$4:$O$20,MATCH("경기도",고양시_재차인원!$K$4:$K$20,0),MATCH($DP$61,고양시_재차인원!$K$4:$O$4,0))</f>
        <v>1.2485185486746685E-3</v>
      </c>
      <c r="DQ69" s="267">
        <f>INDEX($BQ$60:$CD$74,MATCH($CW69,$L$60:$L$74,0),MATCH(DQ$61,$BQ$61:$CD$61,0))/INDEX(고양시_재차인원!$D$4:$H$35,MATCH("고양시",고양시_재차인원!$B$4:$B$35,0),MATCH($DN$60,고양시_재차인원!$D$4:$H$4,0))</f>
        <v>3.0990477340801077E-2</v>
      </c>
      <c r="DR69" s="270">
        <f t="shared" si="33"/>
        <v>1532.8048074395358</v>
      </c>
      <c r="DS69" s="270">
        <f t="shared" si="26"/>
        <v>1.5472938454634112E-2</v>
      </c>
      <c r="DT69" s="270">
        <f t="shared" si="27"/>
        <v>4.3014768903882823</v>
      </c>
      <c r="DU69" s="270">
        <f t="shared" si="28"/>
        <v>98.428035689291903</v>
      </c>
      <c r="DW69" s="278" t="s">
        <v>168</v>
      </c>
      <c r="DX69" s="278" t="s">
        <v>168</v>
      </c>
      <c r="DY69" s="281">
        <f t="shared" si="41"/>
        <v>1631.2328431288277</v>
      </c>
      <c r="DZ69" s="281">
        <f t="shared" si="42"/>
        <v>4.3169498288429162</v>
      </c>
      <c r="EB69" s="278" t="s">
        <v>47</v>
      </c>
      <c r="EC69" s="278" t="s">
        <v>47</v>
      </c>
      <c r="ED69" s="281">
        <f t="shared" ref="ED69:ED73" si="45">DY70</f>
        <v>247.97395503160865</v>
      </c>
      <c r="EE69" s="281">
        <f t="shared" si="44"/>
        <v>0.65624667087864763</v>
      </c>
      <c r="EK69" s="420" t="s">
        <v>168</v>
      </c>
      <c r="EL69" s="420" t="s">
        <v>168</v>
      </c>
      <c r="EM69" s="420" t="s">
        <v>79</v>
      </c>
      <c r="EN69" s="420">
        <v>36231.236499999999</v>
      </c>
      <c r="EO69" s="420">
        <v>0.21506476976864181</v>
      </c>
      <c r="EP69" s="421">
        <v>849008</v>
      </c>
      <c r="EQ69" s="422">
        <f t="shared" si="37"/>
        <v>340.82232544492166</v>
      </c>
      <c r="ER69" s="422">
        <f t="shared" si="38"/>
        <v>0.90196374214315744</v>
      </c>
      <c r="ES69">
        <v>0</v>
      </c>
      <c r="EU69" s="306" t="s">
        <v>168</v>
      </c>
      <c r="EV69" s="306" t="s">
        <v>168</v>
      </c>
      <c r="EW69" s="306" t="s">
        <v>79</v>
      </c>
      <c r="EX69" s="306">
        <v>36231.236499999999</v>
      </c>
      <c r="EY69" s="306">
        <v>0.21506476976864181</v>
      </c>
      <c r="EZ69" s="307">
        <v>849008</v>
      </c>
      <c r="FA69" s="308">
        <f t="shared" si="39"/>
        <v>340.82232544492166</v>
      </c>
      <c r="FB69" s="308">
        <f t="shared" si="30"/>
        <v>0.90196374214315744</v>
      </c>
      <c r="FD69" s="101"/>
      <c r="FE69" s="101"/>
      <c r="FF69" s="101"/>
      <c r="FG69" s="101"/>
      <c r="FH69" s="101"/>
      <c r="FI69" s="374"/>
      <c r="FJ69" s="404"/>
      <c r="FK69" s="404"/>
    </row>
    <row r="70" spans="1:167" ht="25">
      <c r="A70" s="205" t="s">
        <v>47</v>
      </c>
      <c r="B70" s="205" t="s">
        <v>47</v>
      </c>
      <c r="C70" s="201">
        <f>$L37*KTDB_TripDistribution_2040!L$12</f>
        <v>74.216493942514106</v>
      </c>
      <c r="D70" s="201">
        <f>$L37*KTDB_TripDistribution_2040!M$12</f>
        <v>577.11735397111454</v>
      </c>
      <c r="E70" s="201">
        <f>$L37*KTDB_TripDistribution_2040!N$12</f>
        <v>25.580930495063427</v>
      </c>
      <c r="F70" s="201">
        <f>$L37*KTDB_TripDistribution_2040!O$12</f>
        <v>6.9372014901866577E-2</v>
      </c>
      <c r="G70" s="201">
        <f>$L37*KTDB_TripDistribution_2040!P$12</f>
        <v>0.19655404222195685</v>
      </c>
      <c r="H70" s="201">
        <f>$L37*KTDB_TripDistribution_2040!Q$12</f>
        <v>677.18070446581589</v>
      </c>
      <c r="I70" s="56"/>
      <c r="J70" s="56"/>
      <c r="K70" s="206" t="s">
        <v>47</v>
      </c>
      <c r="L70" s="206" t="s">
        <v>47</v>
      </c>
      <c r="M70" s="206">
        <f>INDEX($A$61:$H$74,MATCH($L70,$B$61:$B$74,0),MATCH($M$60,$A$61:$H$61,0))*고양시_Modal_split!C$3 * 0.01</f>
        <v>0.20780618303903947</v>
      </c>
      <c r="N70" s="206">
        <f>INDEX($A$61:$H$74,MATCH($L70,$B$61:$B$74,0),MATCH($M$60,$A$61:$H$61,0))*고양시_Modal_split!D$3 * 0.01</f>
        <v>34.904017101164385</v>
      </c>
      <c r="O70" s="206">
        <f>INDEX($A$61:$H$74,MATCH($L70,$B$61:$B$74,0),MATCH($M$60,$A$61:$H$61,0))*고양시_Modal_split!E$3 * 0.01</f>
        <v>4.2229185053290523</v>
      </c>
      <c r="P70" s="206">
        <f>INDEX($A$61:$H$74,MATCH($L70,$B$61:$B$74,0),MATCH($M$60,$A$61:$H$61,0))*고양시_Modal_split!F$3 * 0.01</f>
        <v>6.8056524945285437</v>
      </c>
      <c r="Q70" s="206">
        <f>INDEX($A$61:$H$74,MATCH($L70,$B$61:$B$74,0),MATCH($M$60,$A$61:$H$61,0))*고양시_Modal_split!G$3 * 0.01</f>
        <v>0.68279174427112976</v>
      </c>
      <c r="R70" s="206">
        <f>INDEX($A$61:$H$74,MATCH($L70,$B$61:$B$74,0),MATCH($M$60,$A$61:$H$61,0))*고양시_Modal_split!H$3 * 0.01</f>
        <v>7.4216493942514108E-3</v>
      </c>
      <c r="S70" s="206">
        <f>INDEX($A$61:$H$74,MATCH($L70,$B$61:$B$74,0),MATCH($M$60,$A$61:$H$61,0))*고양시_Modal_split!I$3 * 0.01</f>
        <v>2.0632185316018918</v>
      </c>
      <c r="T70" s="206">
        <f>INDEX($A$61:$H$74,MATCH($L70,$B$61:$B$74,0),MATCH($M$60,$A$61:$H$61,0))*고양시_Modal_split!J$3 * 0.01</f>
        <v>22.591500756101297</v>
      </c>
      <c r="U70" s="206">
        <f>INDEX($A$61:$H$74,MATCH($L70,$B$61:$B$74,0),MATCH($M$60,$A$61:$H$61,0))*고양시_Modal_split!K$3 * 0.01</f>
        <v>0.11132474091377116</v>
      </c>
      <c r="V70" s="206">
        <f>INDEX($A$61:$H$74,MATCH($L70,$B$61:$B$74,0),MATCH($M$60,$A$61:$H$61,0))*고양시_Modal_split!L$3 * 0.01</f>
        <v>2.2413381170639259</v>
      </c>
      <c r="W70" s="206">
        <f>INDEX($A$61:$H$74,MATCH($L70,$B$61:$B$74,0),MATCH($M$60,$A$61:$H$61,0))*고양시_Modal_split!M$3 * 0.01</f>
        <v>0.17069793606778244</v>
      </c>
      <c r="X70" s="206">
        <f>INDEX($A$61:$H$74,MATCH($L70,$B$61:$B$74,0),MATCH($M$60,$A$61:$H$61,0))*고양시_Modal_split!N$3 * 0.01</f>
        <v>7.4216493942514103E-2</v>
      </c>
      <c r="Y70" s="206">
        <f>INDEX($A$61:$H$74,MATCH($L70,$B$61:$B$74,0),MATCH($M$60,$A$61:$H$61,0))*고양시_Modal_split!O$3 * 0.01</f>
        <v>0.13358968909652538</v>
      </c>
      <c r="Z70" s="209">
        <f>INDEX($A$61:$H$74,MATCH($L70,$B$61:$B$74,0),MATCH($M$60,$A$61:$H$61,0))*고양시_Modal_split!P$3 * 0.01</f>
        <v>74.216493942514106</v>
      </c>
      <c r="AA70" s="207">
        <f>INDEX($A$61:$H$74,MATCH($L70,$B$61:$B$74,0),MATCH($AA$60,$A$61:$H$61,0))*고양시_Modal_split!C$3 * 0.01</f>
        <v>1.6159285911191206</v>
      </c>
      <c r="AB70" s="207">
        <f>INDEX($A$61:$H$74,MATCH($L70,$B$61:$B$74,0),MATCH($AA$60,$A$61:$H$61,0))*고양시_Modal_split!D$3 * 0.01</f>
        <v>271.41829157261515</v>
      </c>
      <c r="AC70" s="207">
        <f>INDEX($A$61:$H$74,MATCH($L70,$B$61:$B$74,0),MATCH($AA$60,$A$61:$H$61,0))*고양시_Modal_split!E$3 * 0.01</f>
        <v>32.837977440956415</v>
      </c>
      <c r="AD70" s="207">
        <f>INDEX($A$61:$H$74,MATCH($L70,$B$61:$B$74,0),MATCH($AA$60,$A$61:$H$61,0))*고양시_Modal_split!F$3 * 0.01</f>
        <v>52.921661359151202</v>
      </c>
      <c r="AE70" s="207">
        <f>INDEX($A$61:$H$74,MATCH($L70,$B$61:$B$74,0),MATCH($AA$60,$A$61:$H$61,0))*고양시_Modal_split!G$3 * 0.01</f>
        <v>5.3094796565342532</v>
      </c>
      <c r="AF70" s="207">
        <f>INDEX($A$61:$H$74,MATCH($L70,$B$61:$B$74,0),MATCH($AA$60,$A$61:$H$61,0))*고양시_Modal_split!H$3 * 0.01</f>
        <v>5.7711735397111455E-2</v>
      </c>
      <c r="AG70" s="207">
        <f>INDEX($A$61:$H$74,MATCH($L70,$B$61:$B$74,0),MATCH($AA$60,$A$61:$H$61,0))*고양시_Modal_split!I$3 * 0.01</f>
        <v>16.043862440396985</v>
      </c>
      <c r="AH70" s="207">
        <f>INDEX($A$61:$H$74,MATCH($L70,$B$61:$B$74,0),MATCH($AA$60,$A$61:$H$61,0))*고양시_Modal_split!J$3 * 0.01</f>
        <v>175.67452254880729</v>
      </c>
      <c r="AI70" s="207">
        <f>INDEX($A$61:$H$74,MATCH($L70,$B$61:$B$74,0),MATCH($AA$60,$A$61:$H$61,0))*고양시_Modal_split!K$3 * 0.01</f>
        <v>0.86567603095667178</v>
      </c>
      <c r="AJ70" s="207">
        <f>INDEX($A$61:$H$74,MATCH($L70,$B$61:$B$74,0),MATCH($AA$60,$A$61:$H$61,0))*고양시_Modal_split!L$3 * 0.01</f>
        <v>17.428944089927658</v>
      </c>
      <c r="AK70" s="207">
        <f>INDEX($A$61:$H$74,MATCH($L70,$B$61:$B$74,0),MATCH($AA$60,$A$61:$H$61,0))*고양시_Modal_split!M$3 * 0.01</f>
        <v>1.3273699141335633</v>
      </c>
      <c r="AL70" s="207">
        <f>INDEX($A$61:$H$74,MATCH($L70,$B$61:$B$74,0),MATCH($AA$60,$A$61:$H$61,0))*고양시_Modal_split!N$3 * 0.01</f>
        <v>0.57711735397111452</v>
      </c>
      <c r="AM70" s="207">
        <f>INDEX($A$61:$H$74,MATCH($L70,$B$61:$B$74,0),MATCH($AA$60,$A$61:$H$61,0))*고양시_Modal_split!O$3 * 0.01</f>
        <v>1.0388112371480061</v>
      </c>
      <c r="AN70" s="207">
        <f>INDEX($A$61:$H$74,MATCH($L70,$B$61:$B$74,0),MATCH($AA$60,$A$61:$H$61,0))*고양시_Modal_split!P$3 * 0.01</f>
        <v>577.11735397111454</v>
      </c>
      <c r="AO70" s="303">
        <f>INDEX($A$61:$H$74,MATCH($L70,$B$61:$B$74,0),MATCH($AO$60,$A$61:$H$61,0))*고양시_Modal_split!C$3 * 0.01</f>
        <v>7.1626605386177586E-2</v>
      </c>
      <c r="AP70" s="303">
        <f>INDEX($A$61:$H$74,MATCH($L70,$B$61:$B$74,0),MATCH($AO$60,$A$61:$H$61,0))*고양시_Modal_split!D$3 * 0.01</f>
        <v>12.03071161182833</v>
      </c>
      <c r="AQ70" s="303">
        <f>INDEX($A$61:$H$74,MATCH($L70,$B$61:$B$74,0),MATCH($AO$60,$A$61:$H$61,0))*고양시_Modal_split!E$3 * 0.01</f>
        <v>1.455554945169109</v>
      </c>
      <c r="AR70" s="303">
        <f>INDEX($A$61:$H$74,MATCH($L70,$B$61:$B$74,0),MATCH($AO$60,$A$61:$H$61,0))*고양시_Modal_split!F$3 * 0.01</f>
        <v>2.3457713263973163</v>
      </c>
      <c r="AS70" s="303">
        <f>INDEX($A$61:$H$74,MATCH($L70,$B$61:$B$74,0),MATCH($AO$60,$A$61:$H$61,0))*고양시_Modal_split!G$3 * 0.01</f>
        <v>0.2353445605545835</v>
      </c>
      <c r="AT70" s="303">
        <f>INDEX($A$61:$H$74,MATCH($L70,$B$61:$B$74,0),MATCH($AO$60,$A$61:$H$61,0))*고양시_Modal_split!H$3 * 0.01</f>
        <v>2.5580930495063426E-3</v>
      </c>
      <c r="AU70" s="303">
        <f>INDEX($A$61:$H$74,MATCH($L70,$B$61:$B$74,0),MATCH($AO$60,$A$61:$H$61,0))*고양시_Modal_split!I$3 * 0.01</f>
        <v>0.71114986776276323</v>
      </c>
      <c r="AV70" s="303">
        <f>INDEX($A$61:$H$74,MATCH($L70,$B$61:$B$74,0),MATCH($AO$60,$A$61:$H$61,0))*고양시_Modal_split!J$3 * 0.01</f>
        <v>7.7868352426973075</v>
      </c>
      <c r="AW70" s="303">
        <f>INDEX($A$61:$H$74,MATCH($L70,$B$61:$B$74,0),MATCH($AO$60,$A$61:$H$61,0))*고양시_Modal_split!K$3 * 0.01</f>
        <v>3.8371395742595141E-2</v>
      </c>
      <c r="AX70" s="303">
        <f>INDEX($A$61:$H$74,MATCH($L70,$B$61:$B$74,0),MATCH($AO$60,$A$61:$H$61,0))*고양시_Modal_split!L$3 * 0.01</f>
        <v>0.77254410095091541</v>
      </c>
      <c r="AY70" s="303">
        <f>INDEX($A$61:$H$74,MATCH($L70,$B$61:$B$74,0),MATCH($AO$60,$A$61:$H$61,0))*고양시_Modal_split!M$3 * 0.01</f>
        <v>5.8836140138645875E-2</v>
      </c>
      <c r="AZ70" s="303">
        <f>INDEX($A$61:$H$74,MATCH($L70,$B$61:$B$74,0),MATCH($AO$60,$A$61:$H$61,0))*고양시_Modal_split!N$3 * 0.01</f>
        <v>2.5580930495063429E-2</v>
      </c>
      <c r="BA70" s="207">
        <f>INDEX($A$61:$H$74,MATCH($L70,$B$61:$B$74,0),MATCH($AO$60,$A$61:$H$61,0))*고양시_Modal_split!O$3 * 0.01</f>
        <v>4.6045674891114163E-2</v>
      </c>
      <c r="BB70" s="207">
        <f>INDEX($A$61:$H$74,MATCH($L70,$B$61:$B$74,0),MATCH($AO$60,$A$61:$H$61,0))*고양시_Modal_split!P$3 * 0.01</f>
        <v>25.580930495063427</v>
      </c>
      <c r="BC70" s="207">
        <f>INDEX($A$61:$H$74,MATCH($L70,$B$61:$B$74,0),MATCH($BC$60,$A$61:$H$61,0))*고양시_Modal_split!C$3 * 0.01</f>
        <v>1.942416417252264E-4</v>
      </c>
      <c r="BD70" s="207">
        <f>INDEX($A$61:$H$74,MATCH($L70,$B$61:$B$74,0),MATCH($BC$60,$A$61:$H$61,0))*고양시_Modal_split!D$3 * 0.01</f>
        <v>3.2625658608347853E-2</v>
      </c>
      <c r="BE70" s="207">
        <f>INDEX($A$61:$H$74,MATCH($L70,$B$61:$B$74,0),MATCH($BC$60,$A$61:$H$61,0))*고양시_Modal_split!E$3 * 0.01</f>
        <v>3.9472676479162076E-3</v>
      </c>
      <c r="BF70" s="207">
        <f>INDEX($A$61:$H$74,MATCH($L70,$B$61:$B$74,0),MATCH($BC$60,$A$61:$H$61,0))*고양시_Modal_split!F$3 * 0.01</f>
        <v>6.3614137665011653E-3</v>
      </c>
      <c r="BG70" s="207">
        <f>INDEX($A$61:$H$74,MATCH($L70,$B$61:$B$74,0),MATCH($BC$60,$A$61:$H$61,0))*고양시_Modal_split!G$3 * 0.01</f>
        <v>6.3822253709717254E-4</v>
      </c>
      <c r="BH70" s="207">
        <f>INDEX($A$61:$H$74,MATCH($L70,$B$61:$B$74,0),MATCH($BC$60,$A$61:$H$61,0))*고양시_Modal_split!H$3 * 0.01</f>
        <v>6.9372014901866576E-6</v>
      </c>
      <c r="BI70" s="207">
        <f>INDEX($A$61:$H$74,MATCH($L70,$B$61:$B$74,0),MATCH($BC$60,$A$61:$H$61,0))*고양시_Modal_split!I$3 * 0.01</f>
        <v>1.9285420142718906E-3</v>
      </c>
      <c r="BJ70" s="207">
        <f>INDEX($A$61:$H$74,MATCH($L70,$B$61:$B$74,0),MATCH($BC$60,$A$61:$H$61,0))*고양시_Modal_split!J$3 * 0.01</f>
        <v>2.1116841336128185E-2</v>
      </c>
      <c r="BK70" s="207">
        <f>INDEX($A$61:$H$74,MATCH($L70,$B$61:$B$74,0),MATCH($BC$60,$A$61:$H$61,0))*고양시_Modal_split!K$3 * 0.01</f>
        <v>1.0405802235279987E-4</v>
      </c>
      <c r="BL70" s="207">
        <f>INDEX($A$61:$H$74,MATCH($L70,$B$61:$B$74,0),MATCH($BC$60,$A$61:$H$61,0))*고양시_Modal_split!L$3 * 0.01</f>
        <v>2.0950348500363707E-3</v>
      </c>
      <c r="BM70" s="207">
        <f>INDEX($A$61:$H$74,MATCH($L70,$B$61:$B$74,0),MATCH($BC$60,$A$61:$H$61,0))*고양시_Modal_split!M$3 * 0.01</f>
        <v>1.5955563427429313E-4</v>
      </c>
      <c r="BN70" s="207">
        <f>INDEX($A$61:$H$74,MATCH($L70,$B$61:$B$74,0),MATCH($BC$60,$A$61:$H$61,0))*고양시_Modal_split!N$3 * 0.01</f>
        <v>6.9372014901866578E-5</v>
      </c>
      <c r="BO70" s="207">
        <f>INDEX($A$61:$H$74,MATCH($L70,$B$61:$B$74,0),MATCH($BC$60,$A$61:$H$61,0))*고양시_Modal_split!O$3 * 0.01</f>
        <v>1.2486962682335985E-4</v>
      </c>
      <c r="BP70" s="207">
        <f>INDEX($A$61:$H$74,MATCH($L70,$B$61:$B$74,0),MATCH($BC$60,$A$61:$H$61,0))*고양시_Modal_split!P$3 * 0.01</f>
        <v>6.9372014901866577E-2</v>
      </c>
      <c r="BQ70" s="207">
        <f>INDEX($A$61:$H$74,MATCH($L70,$B$61:$B$74,0),MATCH($BQ$60,$A$61:$H$61,0))*고양시_Modal_split!C$3 * 0.01</f>
        <v>5.5035131822147915E-4</v>
      </c>
      <c r="BR70" s="207">
        <f>INDEX($A$61:$H$74,MATCH($L70,$B$61:$B$74,0),MATCH($BQ$60,$A$61:$H$61,0))*고양시_Modal_split!D$3 * 0.01</f>
        <v>9.2439366056986313E-2</v>
      </c>
      <c r="BS70" s="207">
        <f>INDEX($A$61:$H$74,MATCH($L70,$B$61:$B$74,0),MATCH($BQ$60,$A$61:$H$61,0))*고양시_Modal_split!E$3 * 0.01</f>
        <v>1.1183925002429344E-2</v>
      </c>
      <c r="BT70" s="207">
        <f>INDEX($A$61:$H$74,MATCH($L70,$B$61:$B$74,0),MATCH($BQ$60,$A$61:$H$61,0))*고양시_Modal_split!F$3 * 0.01</f>
        <v>1.8024005671753444E-2</v>
      </c>
      <c r="BU70" s="207">
        <f>INDEX($A$61:$H$74,MATCH($L70,$B$61:$B$74,0),MATCH($BQ$60,$A$61:$H$61,0))*고양시_Modal_split!G$3 * 0.01</f>
        <v>1.808297188442003E-3</v>
      </c>
      <c r="BV70" s="207">
        <f>INDEX($A$61:$H$74,MATCH($L70,$B$61:$B$74,0),MATCH($BQ$60,$A$61:$H$61,0))*고양시_Modal_split!H$3 * 0.01</f>
        <v>1.9655404222195688E-5</v>
      </c>
      <c r="BW70" s="207">
        <f>INDEX($A$61:$H$74,MATCH($L70,$B$61:$B$74,0),MATCH($BQ$60,$A$61:$H$61,0))*고양시_Modal_split!I$3 * 0.01</f>
        <v>5.4642023737704005E-3</v>
      </c>
      <c r="BX70" s="207">
        <f>INDEX($A$61:$H$74,MATCH($L70,$B$61:$B$74,0),MATCH($BQ$60,$A$61:$H$61,0))*고양시_Modal_split!J$3 * 0.01</f>
        <v>5.9831050452363671E-2</v>
      </c>
      <c r="BY70" s="207">
        <f>INDEX($A$61:$H$74,MATCH($L70,$B$61:$B$74,0),MATCH($BQ$60,$A$61:$H$61,0))*고양시_Modal_split!K$3 * 0.01</f>
        <v>2.9483106333293526E-4</v>
      </c>
      <c r="BZ70" s="207">
        <f>INDEX($A$61:$H$74,MATCH($L70,$B$61:$B$74,0),MATCH($BQ$60,$A$61:$H$61,0))*고양시_Modal_split!L$3 * 0.01</f>
        <v>5.9359320751030979E-3</v>
      </c>
      <c r="CA70" s="207">
        <f>INDEX($A$61:$H$74,MATCH($L70,$B$61:$B$74,0),MATCH($BQ$60,$A$61:$H$61,0))*고양시_Modal_split!M$3 * 0.01</f>
        <v>4.5207429711050076E-4</v>
      </c>
      <c r="CB70" s="207">
        <f>INDEX($A$61:$H$74,MATCH($L70,$B$61:$B$74,0),MATCH($BQ$60,$A$61:$H$61,0))*고양시_Modal_split!N$3 * 0.01</f>
        <v>1.9655404222195688E-4</v>
      </c>
      <c r="CC70" s="207">
        <f>INDEX($A$61:$H$74,MATCH($L70,$B$61:$B$74,0),MATCH($BQ$60,$A$61:$H$61,0))*고양시_Modal_split!O$3 * 0.01</f>
        <v>3.5379727599952232E-4</v>
      </c>
      <c r="CD70" s="207">
        <f>INDEX($A$61:$H$74,MATCH($L70,$B$61:$B$74,0),MATCH($BQ$60,$A$61:$H$61,0))*고양시_Modal_split!P$3 * 0.01</f>
        <v>0.19655404222195685</v>
      </c>
      <c r="CE70" s="304">
        <f t="shared" si="31"/>
        <v>1.8961059725042844</v>
      </c>
      <c r="CF70" s="304">
        <f t="shared" si="13"/>
        <v>318.47808531027317</v>
      </c>
      <c r="CG70" s="304">
        <f t="shared" si="14"/>
        <v>38.531582084104926</v>
      </c>
      <c r="CH70" s="304">
        <f t="shared" si="15"/>
        <v>62.097470599515319</v>
      </c>
      <c r="CI70" s="304">
        <f t="shared" si="16"/>
        <v>6.2300624810855068</v>
      </c>
      <c r="CJ70" s="304">
        <f t="shared" si="17"/>
        <v>6.7718070446581582E-2</v>
      </c>
      <c r="CK70" s="304">
        <f t="shared" si="18"/>
        <v>18.825623584149682</v>
      </c>
      <c r="CL70" s="304">
        <f t="shared" si="19"/>
        <v>206.13380643939436</v>
      </c>
      <c r="CM70" s="304">
        <f t="shared" si="20"/>
        <v>1.0157710566987237</v>
      </c>
      <c r="CN70" s="304">
        <f t="shared" si="21"/>
        <v>20.450857274867641</v>
      </c>
      <c r="CO70" s="304">
        <f t="shared" si="22"/>
        <v>1.5575156202713767</v>
      </c>
      <c r="CP70" s="304">
        <f t="shared" si="23"/>
        <v>0.6771807044658158</v>
      </c>
      <c r="CQ70" s="304">
        <f t="shared" si="24"/>
        <v>1.2189252680384686</v>
      </c>
      <c r="CR70" s="304">
        <f t="shared" si="25"/>
        <v>677.18070446581589</v>
      </c>
      <c r="CS70" s="305">
        <f t="shared" si="32"/>
        <v>0</v>
      </c>
      <c r="CV70" s="267" t="s">
        <v>47</v>
      </c>
      <c r="CW70" s="267" t="s">
        <v>47</v>
      </c>
      <c r="CX70" s="267">
        <f>INDEX($M$60:$Z$74,MATCH($CW70,$L$60:$L$74,0),MATCH(CX$61,$M$61:$Z$61,0))/INDEX(고양시_재차인원!$D$4:$H$35,MATCH("고양시",고양시_재차인원!$B$4:$B$35,0),MATCH($CX$60,고양시_재차인원!$D$4:$H$4,0))</f>
        <v>31.164300983182482</v>
      </c>
      <c r="CY70" s="267">
        <f>INDEX($M$60:$Z$74,MATCH($CW70,$L$60:$L$74,0),MATCH(CY$61,$M$61:$Z$61,0))/INDEX(고양시_재차인원!$K$4:$O$20,MATCH("경기도",고양시_재차인원!$K$4:$K$20,0),MATCH($CY$61,고양시_재차인원!$K$4:$O$4,0))</f>
        <v>2.5778566843526955E-4</v>
      </c>
      <c r="CZ70" s="267">
        <f>INDEX($M$60:$Z$74,MATCH($CW70,$L$60:$L$74,0),MATCH(CZ$61,$M$61:$Z$61,0))/INDEX(고양시_재차인원!$K$4:$O$20,MATCH("경기도",고양시_재차인원!$K$4:$K$20,0),MATCH($CZ$61,고양시_재차인원!$K$4:$O$4,0))</f>
        <v>7.1664415825004935E-2</v>
      </c>
      <c r="DA70" s="267">
        <f>INDEX($M$60:$Z$74,MATCH($CW70,$L$60:$L$74,0),MATCH(DA$61,$M$61:$Z$61,0))/INDEX(고양시_재차인원!$D$4:$H$35,MATCH("고양시",고양시_재차인원!$B$4:$B$35,0),MATCH($CX$60,고양시_재차인원!$D$4:$H$4,0))</f>
        <v>2.0011947473785052</v>
      </c>
      <c r="DB70" s="267">
        <f>INDEX($AA$60:$AN$74,MATCH($CW70,$L$60:$L$74,0),MATCH(DB$61,$AA$61:$AN$61,0))/INDEX(고양시_재차인원!$D$4:$H$35,MATCH("고양시",고양시_재차인원!$B$4:$B$35,0),MATCH($DB$60,고양시_재차인원!$D$4:$H$4,0))</f>
        <v>192.49524225008167</v>
      </c>
      <c r="DC70" s="267">
        <f>INDEX($AA$60:$AN$74,MATCH($CW70,$L$60:$L$74,0),MATCH(DC$61,$AA$61:$AN$61,0))/INDEX(고양시_재차인원!$K$4:$O$20,MATCH("경기도",고양시_재차인원!$K$4:$K$20,0),MATCH($DC$61,고양시_재차인원!$K$4:$O$4,0))</f>
        <v>2.0045757345297484E-3</v>
      </c>
      <c r="DD70" s="267">
        <f>INDEX($AA$60:$AN$74,MATCH($CW70,$L$60:$L$74,0),MATCH(DD$61,$AA$61:$AN$61,0))/INDEX(고양시_재차인원!$K$4:$O$20,MATCH("경기도",고양시_재차인원!$K$4:$K$20,0),MATCH($DD$61,고양시_재차인원!$K$4:$O$4,0))</f>
        <v>0.55727205419927006</v>
      </c>
      <c r="DE70" s="267">
        <f>INDEX($AA$60:$AN$74,MATCH($CW70,$L$60:$L$74,0),MATCH(DE$61,$AA$61:$AN$61,0))/INDEX(고양시_재차인원!$D$4:$H$35,MATCH("고양시",고양시_재차인원!$B$4:$B$35,0),MATCH($DB$60,고양시_재차인원!$D$4:$H$4,0))</f>
        <v>12.360953255267843</v>
      </c>
      <c r="DF70" s="267">
        <f>INDEX($AO$60:$BB$74,MATCH($CW70,$L$60:$L$74,0),MATCH(DF$61,$AO$61:$BB$61,0))/INDEX(고양시_재차인원!$D$4:$H$35,MATCH("고양시",고양시_재차인원!$B$4:$B$35,0),MATCH($DF$60,고양시_재차인원!$D$4:$H$4,0))</f>
        <v>9.2543935475602535</v>
      </c>
      <c r="DG70" s="267">
        <f>INDEX($AO$60:$BB$74,MATCH($CW70,$L$60:$L$74,0),MATCH(DG$61,$AO$61:$BB$61,0))/INDEX(고양시_재차인원!$K$4:$O$20,MATCH("경기도",고양시_재차인원!$K$4:$K$20,0),MATCH($DG$61,고양시_재차인원!$K$4:$O$4,0))</f>
        <v>8.8853527249265119E-5</v>
      </c>
      <c r="DH70" s="267">
        <f>INDEX($AO$60:$BB$74,MATCH($CW70,$L$60:$L$74,0),MATCH(DH$61,$AO$61:$BB$61,0))/INDEX(고양시_재차인원!$K$4:$O$20,MATCH("경기도",고양시_재차인원!$K$4:$K$20,0),MATCH($DH$61,고양시_재차인원!$K$4:$O$4,0))</f>
        <v>2.4701280575295703E-2</v>
      </c>
      <c r="DI70" s="267">
        <f>INDEX($AO$60:$BB$74,MATCH($CW70,$L$60:$L$74,0),MATCH(DI$61,$AO$61:$BB$61,0))/INDEX(고양시_재차인원!$D$4:$H$35,MATCH("고양시",고양시_재차인원!$B$4:$B$35,0),MATCH($DF$60,고양시_재차인원!$D$4:$H$4,0))</f>
        <v>0.59426469303916574</v>
      </c>
      <c r="DJ70" s="267">
        <f>INDEX($BC$60:$BP$74,MATCH($CW70,$L$60:$L$74,0),MATCH(DJ$61,$BC$61:$BP$61,0))/INDEX(고양시_재차인원!$D$4:$H$35,MATCH("고양시",고양시_재차인원!$B$4:$B$35,0),MATCH($DJ$60,고양시_재차인원!$D$4:$H$4,0))</f>
        <v>2.3989454859079301E-2</v>
      </c>
      <c r="DK70" s="267">
        <f>INDEX($BC$60:$BP$74,MATCH($CW70,$L$60:$L$74,0),MATCH(DK$61,$BC$61:$BP$61,0))/INDEX(고양시_재차인원!$K$4:$O$20,MATCH("경기도",고양시_재차인원!$K$4:$K$20,0),MATCH($DK$61,고양시_재차인원!$K$4:$O$4,0))</f>
        <v>2.4095871796410758E-7</v>
      </c>
      <c r="DL70" s="267">
        <f>INDEX($BC$60:$BP$74,MATCH($CW70,$L$60:$L$74,0),MATCH(DL$61,$BC$61:$BP$61,0))/INDEX(고양시_재차인원!$K$4:$O$20,MATCH("경기도",고양시_재차인원!$K$4:$K$20,0),MATCH($DL$61,고양시_재차인원!$K$4:$O$4,0))</f>
        <v>6.6986523594021911E-5</v>
      </c>
      <c r="DM70" s="267">
        <f>INDEX($BC$60:$BP$74,MATCH($CW70,$L$60:$L$74,0),MATCH(DM$61,$BC$61:$BP$61,0))/INDEX(고양시_재차인원!$D$4:$H$35,MATCH("고양시",고양시_재차인원!$B$4:$B$35,0),MATCH($DJ$60,고양시_재차인원!$D$4:$H$4,0))</f>
        <v>1.5404668014973313E-3</v>
      </c>
      <c r="DN70" s="267">
        <f>INDEX($BQ$60:$CD$74,MATCH($CW70,$L$60:$L$74,0),MATCH(DN$61,$BQ$61:$CD$61,0))/INDEX(고양시_재차인원!$D$4:$H$35,MATCH("고양시",고양시_재차인원!$B$4:$B$35,0),MATCH($DN$60,고양시_재차인원!$D$4:$H$4,0))</f>
        <v>7.336457623570343E-2</v>
      </c>
      <c r="DO70" s="267">
        <f>INDEX($BQ$60:$CD$74,MATCH($CW70,$L$60:$L$74,0),MATCH(DO$61,$BQ$61:$CD$61,0))/INDEX(고양시_재차인원!$K$4:$O$20,MATCH("경기도",고양시_재차인원!$K$4:$K$20,0),MATCH($DO$61,고양시_재차인원!$K$4:$O$4,0))</f>
        <v>6.8271636756497703E-7</v>
      </c>
      <c r="DP70" s="267">
        <f>INDEX($BQ$60:$CD$74,MATCH($CW70,$L$60:$L$74,0),MATCH(DP$61,$BQ$61:$CD$61,0))/INDEX(고양시_재차인원!$K$4:$O$20,MATCH("경기도",고양시_재차인원!$K$4:$K$20,0),MATCH($DP$61,고양시_재차인원!$K$4:$O$4,0))</f>
        <v>1.8979515018306358E-4</v>
      </c>
      <c r="DQ70" s="267">
        <f>INDEX($BQ$60:$CD$74,MATCH($CW70,$L$60:$L$74,0),MATCH(DQ$61,$BQ$61:$CD$61,0))/INDEX(고양시_재차인원!$D$4:$H$35,MATCH("고양시",고양시_재차인원!$B$4:$B$35,0),MATCH($DN$60,고양시_재차인원!$D$4:$H$4,0))</f>
        <v>4.711057202462776E-3</v>
      </c>
      <c r="DR70" s="270">
        <f t="shared" si="33"/>
        <v>233.01129081191917</v>
      </c>
      <c r="DS70" s="270">
        <f t="shared" si="26"/>
        <v>2.3521386052998122E-3</v>
      </c>
      <c r="DT70" s="270">
        <f t="shared" si="27"/>
        <v>0.65389453227334782</v>
      </c>
      <c r="DU70" s="270">
        <f t="shared" si="28"/>
        <v>14.962664219689476</v>
      </c>
      <c r="DW70" s="278" t="s">
        <v>47</v>
      </c>
      <c r="DX70" s="278" t="s">
        <v>47</v>
      </c>
      <c r="DY70" s="281">
        <f t="shared" si="41"/>
        <v>247.97395503160865</v>
      </c>
      <c r="DZ70" s="281">
        <f t="shared" si="42"/>
        <v>0.65624667087864763</v>
      </c>
      <c r="EB70" s="278" t="s">
        <v>169</v>
      </c>
      <c r="EC70" s="278" t="s">
        <v>169</v>
      </c>
      <c r="ED70" s="281">
        <f t="shared" si="45"/>
        <v>397.84353101450569</v>
      </c>
      <c r="EE70" s="281">
        <f t="shared" si="44"/>
        <v>1.0528665912740536</v>
      </c>
      <c r="EK70" s="420" t="s">
        <v>168</v>
      </c>
      <c r="EL70" s="420" t="s">
        <v>168</v>
      </c>
      <c r="EM70" s="420" t="s">
        <v>223</v>
      </c>
      <c r="EN70" s="420">
        <v>69072.016600000003</v>
      </c>
      <c r="EO70" s="420">
        <v>0.41000415063214324</v>
      </c>
      <c r="EP70" s="421">
        <v>849009</v>
      </c>
      <c r="EQ70" s="422">
        <f t="shared" si="37"/>
        <v>649.75108759487784</v>
      </c>
      <c r="ER70" s="422">
        <f t="shared" si="38"/>
        <v>1.7195232784812711</v>
      </c>
      <c r="ES70">
        <v>0</v>
      </c>
      <c r="EU70" s="306" t="s">
        <v>168</v>
      </c>
      <c r="EV70" s="306" t="s">
        <v>168</v>
      </c>
      <c r="EW70" s="306" t="s">
        <v>223</v>
      </c>
      <c r="EX70" s="306">
        <v>69072.016600000003</v>
      </c>
      <c r="EY70" s="306">
        <v>0.41000415063214324</v>
      </c>
      <c r="EZ70" s="307">
        <v>849009</v>
      </c>
      <c r="FA70" s="308">
        <f t="shared" si="39"/>
        <v>649.75108759487784</v>
      </c>
      <c r="FB70" s="308">
        <f t="shared" si="30"/>
        <v>1.7195232784812711</v>
      </c>
      <c r="FD70" s="101"/>
      <c r="FE70" s="101"/>
      <c r="FF70" s="101"/>
      <c r="FG70" s="101"/>
      <c r="FH70" s="101"/>
      <c r="FI70" s="374"/>
      <c r="FJ70" s="404"/>
      <c r="FK70" s="404"/>
    </row>
    <row r="71" spans="1:167" ht="25">
      <c r="A71" s="205" t="s">
        <v>169</v>
      </c>
      <c r="B71" s="205" t="s">
        <v>169</v>
      </c>
      <c r="C71" s="201">
        <f>$L38*KTDB_TripDistribution_2040!L$12</f>
        <v>119.07118231768652</v>
      </c>
      <c r="D71" s="201">
        <f>$L38*KTDB_TripDistribution_2040!M$12</f>
        <v>925.91339233327801</v>
      </c>
      <c r="E71" s="201">
        <f>$L38*KTDB_TripDistribution_2040!N$12</f>
        <v>41.041438055441802</v>
      </c>
      <c r="F71" s="201">
        <f>$L38*KTDB_TripDistribution_2040!O$12</f>
        <v>0.11129881506560434</v>
      </c>
      <c r="G71" s="201">
        <f>$L38*KTDB_TripDistribution_2040!P$12</f>
        <v>0.31534664268588147</v>
      </c>
      <c r="H71" s="201">
        <f>$L38*KTDB_TripDistribution_2040!Q$12</f>
        <v>1086.4526581641578</v>
      </c>
      <c r="I71" s="56"/>
      <c r="J71" s="56"/>
      <c r="K71" s="206" t="s">
        <v>169</v>
      </c>
      <c r="L71" s="206" t="s">
        <v>169</v>
      </c>
      <c r="M71" s="206">
        <f>INDEX($A$61:$H$74,MATCH($L71,$B$61:$B$74,0),MATCH($M$60,$A$61:$H$61,0))*고양시_Modal_split!C$3 * 0.01</f>
        <v>0.33339931048952226</v>
      </c>
      <c r="N71" s="206">
        <f>INDEX($A$61:$H$74,MATCH($L71,$B$61:$B$74,0),MATCH($M$60,$A$61:$H$61,0))*고양시_Modal_split!D$3 * 0.01</f>
        <v>55.999177044007979</v>
      </c>
      <c r="O71" s="206">
        <f>INDEX($A$61:$H$74,MATCH($L71,$B$61:$B$74,0),MATCH($M$60,$A$61:$H$61,0))*고양시_Modal_split!E$3 * 0.01</f>
        <v>6.7751502738763625</v>
      </c>
      <c r="P71" s="206">
        <f>INDEX($A$61:$H$74,MATCH($L71,$B$61:$B$74,0),MATCH($M$60,$A$61:$H$61,0))*고양시_Modal_split!F$3 * 0.01</f>
        <v>10.918827418531853</v>
      </c>
      <c r="Q71" s="206">
        <f>INDEX($A$61:$H$74,MATCH($L71,$B$61:$B$74,0),MATCH($M$60,$A$61:$H$61,0))*고양시_Modal_split!G$3 * 0.01</f>
        <v>1.095454877322716</v>
      </c>
      <c r="R71" s="206">
        <f>INDEX($A$61:$H$74,MATCH($L71,$B$61:$B$74,0),MATCH($M$60,$A$61:$H$61,0))*고양시_Modal_split!H$3 * 0.01</f>
        <v>1.1907118231768652E-2</v>
      </c>
      <c r="S71" s="206">
        <f>INDEX($A$61:$H$74,MATCH($L71,$B$61:$B$74,0),MATCH($M$60,$A$61:$H$61,0))*고양시_Modal_split!I$3 * 0.01</f>
        <v>3.3101788684316853</v>
      </c>
      <c r="T71" s="206">
        <f>INDEX($A$61:$H$74,MATCH($L71,$B$61:$B$74,0),MATCH($M$60,$A$61:$H$61,0))*고양시_Modal_split!J$3 * 0.01</f>
        <v>36.24526789750378</v>
      </c>
      <c r="U71" s="206">
        <f>INDEX($A$61:$H$74,MATCH($L71,$B$61:$B$74,0),MATCH($M$60,$A$61:$H$61,0))*고양시_Modal_split!K$3 * 0.01</f>
        <v>0.17860677347652978</v>
      </c>
      <c r="V71" s="206">
        <f>INDEX($A$61:$H$74,MATCH($L71,$B$61:$B$74,0),MATCH($M$60,$A$61:$H$61,0))*고양시_Modal_split!L$3 * 0.01</f>
        <v>3.595949705994133</v>
      </c>
      <c r="W71" s="206">
        <f>INDEX($A$61:$H$74,MATCH($L71,$B$61:$B$74,0),MATCH($M$60,$A$61:$H$61,0))*고양시_Modal_split!M$3 * 0.01</f>
        <v>0.27386371933067899</v>
      </c>
      <c r="X71" s="206">
        <f>INDEX($A$61:$H$74,MATCH($L71,$B$61:$B$74,0),MATCH($M$60,$A$61:$H$61,0))*고양시_Modal_split!N$3 * 0.01</f>
        <v>0.11907118231768653</v>
      </c>
      <c r="Y71" s="206">
        <f>INDEX($A$61:$H$74,MATCH($L71,$B$61:$B$74,0),MATCH($M$60,$A$61:$H$61,0))*고양시_Modal_split!O$3 * 0.01</f>
        <v>0.21432812817183575</v>
      </c>
      <c r="Z71" s="209">
        <f>INDEX($A$61:$H$74,MATCH($L71,$B$61:$B$74,0),MATCH($M$60,$A$61:$H$61,0))*고양시_Modal_split!P$3 * 0.01</f>
        <v>119.07118231768652</v>
      </c>
      <c r="AA71" s="207">
        <f>INDEX($A$61:$H$74,MATCH($L71,$B$61:$B$74,0),MATCH($AA$60,$A$61:$H$61,0))*고양시_Modal_split!C$3 * 0.01</f>
        <v>2.5925574985331781</v>
      </c>
      <c r="AB71" s="207">
        <f>INDEX($A$61:$H$74,MATCH($L71,$B$61:$B$74,0),MATCH($AA$60,$A$61:$H$61,0))*고양시_Modal_split!D$3 * 0.01</f>
        <v>435.45706841434071</v>
      </c>
      <c r="AC71" s="207">
        <f>INDEX($A$61:$H$74,MATCH($L71,$B$61:$B$74,0),MATCH($AA$60,$A$61:$H$61,0))*고양시_Modal_split!E$3 * 0.01</f>
        <v>52.684472023763512</v>
      </c>
      <c r="AD71" s="207">
        <f>INDEX($A$61:$H$74,MATCH($L71,$B$61:$B$74,0),MATCH($AA$60,$A$61:$H$61,0))*고양시_Modal_split!F$3 * 0.01</f>
        <v>84.906258076961592</v>
      </c>
      <c r="AE71" s="207">
        <f>INDEX($A$61:$H$74,MATCH($L71,$B$61:$B$74,0),MATCH($AA$60,$A$61:$H$61,0))*고양시_Modal_split!G$3 * 0.01</f>
        <v>8.5184032094661575</v>
      </c>
      <c r="AF71" s="207">
        <f>INDEX($A$61:$H$74,MATCH($L71,$B$61:$B$74,0),MATCH($AA$60,$A$61:$H$61,0))*고양시_Modal_split!H$3 * 0.01</f>
        <v>9.259133923332781E-2</v>
      </c>
      <c r="AG71" s="207">
        <f>INDEX($A$61:$H$74,MATCH($L71,$B$61:$B$74,0),MATCH($AA$60,$A$61:$H$61,0))*고양시_Modal_split!I$3 * 0.01</f>
        <v>25.740392306865129</v>
      </c>
      <c r="AH71" s="207">
        <f>INDEX($A$61:$H$74,MATCH($L71,$B$61:$B$74,0),MATCH($AA$60,$A$61:$H$61,0))*고양시_Modal_split!J$3 * 0.01</f>
        <v>281.84803662624984</v>
      </c>
      <c r="AI71" s="207">
        <f>INDEX($A$61:$H$74,MATCH($L71,$B$61:$B$74,0),MATCH($AA$60,$A$61:$H$61,0))*고양시_Modal_split!K$3 * 0.01</f>
        <v>1.388870088499917</v>
      </c>
      <c r="AJ71" s="207">
        <f>INDEX($A$61:$H$74,MATCH($L71,$B$61:$B$74,0),MATCH($AA$60,$A$61:$H$61,0))*고양시_Modal_split!L$3 * 0.01</f>
        <v>27.962584448464995</v>
      </c>
      <c r="AK71" s="207">
        <f>INDEX($A$61:$H$74,MATCH($L71,$B$61:$B$74,0),MATCH($AA$60,$A$61:$H$61,0))*고양시_Modal_split!M$3 * 0.01</f>
        <v>2.1296008023665394</v>
      </c>
      <c r="AL71" s="207">
        <f>INDEX($A$61:$H$74,MATCH($L71,$B$61:$B$74,0),MATCH($AA$60,$A$61:$H$61,0))*고양시_Modal_split!N$3 * 0.01</f>
        <v>0.92591339233327807</v>
      </c>
      <c r="AM71" s="207">
        <f>INDEX($A$61:$H$74,MATCH($L71,$B$61:$B$74,0),MATCH($AA$60,$A$61:$H$61,0))*고양시_Modal_split!O$3 * 0.01</f>
        <v>1.6666441061999004</v>
      </c>
      <c r="AN71" s="207">
        <f>INDEX($A$61:$H$74,MATCH($L71,$B$61:$B$74,0),MATCH($AA$60,$A$61:$H$61,0))*고양시_Modal_split!P$3 * 0.01</f>
        <v>925.91339233327801</v>
      </c>
      <c r="AO71" s="303">
        <f>INDEX($A$61:$H$74,MATCH($L71,$B$61:$B$74,0),MATCH($AO$60,$A$61:$H$61,0))*고양시_Modal_split!C$3 * 0.01</f>
        <v>0.11491602655523703</v>
      </c>
      <c r="AP71" s="303">
        <f>INDEX($A$61:$H$74,MATCH($L71,$B$61:$B$74,0),MATCH($AO$60,$A$61:$H$61,0))*고양시_Modal_split!D$3 * 0.01</f>
        <v>19.30178831747428</v>
      </c>
      <c r="AQ71" s="303">
        <f>INDEX($A$61:$H$74,MATCH($L71,$B$61:$B$74,0),MATCH($AO$60,$A$61:$H$61,0))*고양시_Modal_split!E$3 * 0.01</f>
        <v>2.3352578253546383</v>
      </c>
      <c r="AR71" s="303">
        <f>INDEX($A$61:$H$74,MATCH($L71,$B$61:$B$74,0),MATCH($AO$60,$A$61:$H$61,0))*고양시_Modal_split!F$3 * 0.01</f>
        <v>3.7634998696840132</v>
      </c>
      <c r="AS71" s="303">
        <f>INDEX($A$61:$H$74,MATCH($L71,$B$61:$B$74,0),MATCH($AO$60,$A$61:$H$61,0))*고양시_Modal_split!G$3 * 0.01</f>
        <v>0.37758123011006456</v>
      </c>
      <c r="AT71" s="303">
        <f>INDEX($A$61:$H$74,MATCH($L71,$B$61:$B$74,0),MATCH($AO$60,$A$61:$H$61,0))*고양시_Modal_split!H$3 * 0.01</f>
        <v>4.1041438055441802E-3</v>
      </c>
      <c r="AU71" s="303">
        <f>INDEX($A$61:$H$74,MATCH($L71,$B$61:$B$74,0),MATCH($AO$60,$A$61:$H$61,0))*고양시_Modal_split!I$3 * 0.01</f>
        <v>1.140951977941282</v>
      </c>
      <c r="AV71" s="303">
        <f>INDEX($A$61:$H$74,MATCH($L71,$B$61:$B$74,0),MATCH($AO$60,$A$61:$H$61,0))*고양시_Modal_split!J$3 * 0.01</f>
        <v>12.493013744076487</v>
      </c>
      <c r="AW71" s="303">
        <f>INDEX($A$61:$H$74,MATCH($L71,$B$61:$B$74,0),MATCH($AO$60,$A$61:$H$61,0))*고양시_Modal_split!K$3 * 0.01</f>
        <v>6.1562157083162705E-2</v>
      </c>
      <c r="AX71" s="303">
        <f>INDEX($A$61:$H$74,MATCH($L71,$B$61:$B$74,0),MATCH($AO$60,$A$61:$H$61,0))*고양시_Modal_split!L$3 * 0.01</f>
        <v>1.2394514292743426</v>
      </c>
      <c r="AY71" s="303">
        <f>INDEX($A$61:$H$74,MATCH($L71,$B$61:$B$74,0),MATCH($AO$60,$A$61:$H$61,0))*고양시_Modal_split!M$3 * 0.01</f>
        <v>9.439530752751614E-2</v>
      </c>
      <c r="AZ71" s="303">
        <f>INDEX($A$61:$H$74,MATCH($L71,$B$61:$B$74,0),MATCH($AO$60,$A$61:$H$61,0))*고양시_Modal_split!N$3 * 0.01</f>
        <v>4.1041438055441803E-2</v>
      </c>
      <c r="BA71" s="207">
        <f>INDEX($A$61:$H$74,MATCH($L71,$B$61:$B$74,0),MATCH($AO$60,$A$61:$H$61,0))*고양시_Modal_split!O$3 * 0.01</f>
        <v>7.3874588499795238E-2</v>
      </c>
      <c r="BB71" s="207">
        <f>INDEX($A$61:$H$74,MATCH($L71,$B$61:$B$74,0),MATCH($AO$60,$A$61:$H$61,0))*고양시_Modal_split!P$3 * 0.01</f>
        <v>41.041438055441802</v>
      </c>
      <c r="BC71" s="207">
        <f>INDEX($A$61:$H$74,MATCH($L71,$B$61:$B$74,0),MATCH($BC$60,$A$61:$H$61,0))*고양시_Modal_split!C$3 * 0.01</f>
        <v>3.1163668218369209E-4</v>
      </c>
      <c r="BD71" s="207">
        <f>INDEX($A$61:$H$74,MATCH($L71,$B$61:$B$74,0),MATCH($BC$60,$A$61:$H$61,0))*고양시_Modal_split!D$3 * 0.01</f>
        <v>5.2343832725353721E-2</v>
      </c>
      <c r="BE71" s="207">
        <f>INDEX($A$61:$H$74,MATCH($L71,$B$61:$B$74,0),MATCH($BC$60,$A$61:$H$61,0))*고양시_Modal_split!E$3 * 0.01</f>
        <v>6.3329025772328861E-3</v>
      </c>
      <c r="BF71" s="207">
        <f>INDEX($A$61:$H$74,MATCH($L71,$B$61:$B$74,0),MATCH($BC$60,$A$61:$H$61,0))*고양시_Modal_split!F$3 * 0.01</f>
        <v>1.0206101341515918E-2</v>
      </c>
      <c r="BG71" s="207">
        <f>INDEX($A$61:$H$74,MATCH($L71,$B$61:$B$74,0),MATCH($BC$60,$A$61:$H$61,0))*고양시_Modal_split!G$3 * 0.01</f>
        <v>1.0239490986035599E-3</v>
      </c>
      <c r="BH71" s="207">
        <f>INDEX($A$61:$H$74,MATCH($L71,$B$61:$B$74,0),MATCH($BC$60,$A$61:$H$61,0))*고양시_Modal_split!H$3 * 0.01</f>
        <v>1.1129881506560436E-5</v>
      </c>
      <c r="BI71" s="207">
        <f>INDEX($A$61:$H$74,MATCH($L71,$B$61:$B$74,0),MATCH($BC$60,$A$61:$H$61,0))*고양시_Modal_split!I$3 * 0.01</f>
        <v>3.0941070588238E-3</v>
      </c>
      <c r="BJ71" s="207">
        <f>INDEX($A$61:$H$74,MATCH($L71,$B$61:$B$74,0),MATCH($BC$60,$A$61:$H$61,0))*고양시_Modal_split!J$3 * 0.01</f>
        <v>3.3879359305969962E-2</v>
      </c>
      <c r="BK71" s="207">
        <f>INDEX($A$61:$H$74,MATCH($L71,$B$61:$B$74,0),MATCH($BC$60,$A$61:$H$61,0))*고양시_Modal_split!K$3 * 0.01</f>
        <v>1.6694822259840652E-4</v>
      </c>
      <c r="BL71" s="207">
        <f>INDEX($A$61:$H$74,MATCH($L71,$B$61:$B$74,0),MATCH($BC$60,$A$61:$H$61,0))*고양시_Modal_split!L$3 * 0.01</f>
        <v>3.361224214981251E-3</v>
      </c>
      <c r="BM71" s="207">
        <f>INDEX($A$61:$H$74,MATCH($L71,$B$61:$B$74,0),MATCH($BC$60,$A$61:$H$61,0))*고양시_Modal_split!M$3 * 0.01</f>
        <v>2.5598727465088998E-4</v>
      </c>
      <c r="BN71" s="207">
        <f>INDEX($A$61:$H$74,MATCH($L71,$B$61:$B$74,0),MATCH($BC$60,$A$61:$H$61,0))*고양시_Modal_split!N$3 * 0.01</f>
        <v>1.1129881506560434E-4</v>
      </c>
      <c r="BO71" s="207">
        <f>INDEX($A$61:$H$74,MATCH($L71,$B$61:$B$74,0),MATCH($BC$60,$A$61:$H$61,0))*고양시_Modal_split!O$3 * 0.01</f>
        <v>2.0033786711808781E-4</v>
      </c>
      <c r="BP71" s="207">
        <f>INDEX($A$61:$H$74,MATCH($L71,$B$61:$B$74,0),MATCH($BC$60,$A$61:$H$61,0))*고양시_Modal_split!P$3 * 0.01</f>
        <v>0.11129881506560434</v>
      </c>
      <c r="BQ71" s="207">
        <f>INDEX($A$61:$H$74,MATCH($L71,$B$61:$B$74,0),MATCH($BQ$60,$A$61:$H$61,0))*고양시_Modal_split!C$3 * 0.01</f>
        <v>8.8297059952046806E-4</v>
      </c>
      <c r="BR71" s="207">
        <f>INDEX($A$61:$H$74,MATCH($L71,$B$61:$B$74,0),MATCH($BQ$60,$A$61:$H$61,0))*고양시_Modal_split!D$3 * 0.01</f>
        <v>0.14830752605517006</v>
      </c>
      <c r="BS71" s="207">
        <f>INDEX($A$61:$H$74,MATCH($L71,$B$61:$B$74,0),MATCH($BQ$60,$A$61:$H$61,0))*고양시_Modal_split!E$3 * 0.01</f>
        <v>1.7943223968826656E-2</v>
      </c>
      <c r="BT71" s="207">
        <f>INDEX($A$61:$H$74,MATCH($L71,$B$61:$B$74,0),MATCH($BQ$60,$A$61:$H$61,0))*고양시_Modal_split!F$3 * 0.01</f>
        <v>2.8917287134295335E-2</v>
      </c>
      <c r="BU71" s="207">
        <f>INDEX($A$61:$H$74,MATCH($L71,$B$61:$B$74,0),MATCH($BQ$60,$A$61:$H$61,0))*고양시_Modal_split!G$3 * 0.01</f>
        <v>2.9011891127101092E-3</v>
      </c>
      <c r="BV71" s="207">
        <f>INDEX($A$61:$H$74,MATCH($L71,$B$61:$B$74,0),MATCH($BQ$60,$A$61:$H$61,0))*고양시_Modal_split!H$3 * 0.01</f>
        <v>3.1534664268588147E-5</v>
      </c>
      <c r="BW71" s="207">
        <f>INDEX($A$61:$H$74,MATCH($L71,$B$61:$B$74,0),MATCH($BQ$60,$A$61:$H$61,0))*고양시_Modal_split!I$3 * 0.01</f>
        <v>8.7666366666675054E-3</v>
      </c>
      <c r="BX71" s="207">
        <f>INDEX($A$61:$H$74,MATCH($L71,$B$61:$B$74,0),MATCH($BQ$60,$A$61:$H$61,0))*고양시_Modal_split!J$3 * 0.01</f>
        <v>9.5991518033582329E-2</v>
      </c>
      <c r="BY71" s="207">
        <f>INDEX($A$61:$H$74,MATCH($L71,$B$61:$B$74,0),MATCH($BQ$60,$A$61:$H$61,0))*고양시_Modal_split!K$3 * 0.01</f>
        <v>4.7301996402882219E-4</v>
      </c>
      <c r="BZ71" s="207">
        <f>INDEX($A$61:$H$74,MATCH($L71,$B$61:$B$74,0),MATCH($BQ$60,$A$61:$H$61,0))*고양시_Modal_split!L$3 * 0.01</f>
        <v>9.5234686091136209E-3</v>
      </c>
      <c r="CA71" s="207">
        <f>INDEX($A$61:$H$74,MATCH($L71,$B$61:$B$74,0),MATCH($BQ$60,$A$61:$H$61,0))*고양시_Modal_split!M$3 * 0.01</f>
        <v>7.2529727817752731E-4</v>
      </c>
      <c r="CB71" s="207">
        <f>INDEX($A$61:$H$74,MATCH($L71,$B$61:$B$74,0),MATCH($BQ$60,$A$61:$H$61,0))*고양시_Modal_split!N$3 * 0.01</f>
        <v>3.153466426858815E-4</v>
      </c>
      <c r="CC71" s="207">
        <f>INDEX($A$61:$H$74,MATCH($L71,$B$61:$B$74,0),MATCH($BQ$60,$A$61:$H$61,0))*고양시_Modal_split!O$3 * 0.01</f>
        <v>5.6762395683458667E-4</v>
      </c>
      <c r="CD71" s="207">
        <f>INDEX($A$61:$H$74,MATCH($L71,$B$61:$B$74,0),MATCH($BQ$60,$A$61:$H$61,0))*고양시_Modal_split!P$3 * 0.01</f>
        <v>0.31534664268588147</v>
      </c>
      <c r="CE71" s="304">
        <f t="shared" si="31"/>
        <v>3.0420674428596417</v>
      </c>
      <c r="CF71" s="304">
        <f t="shared" si="13"/>
        <v>510.95868513460351</v>
      </c>
      <c r="CG71" s="304">
        <f t="shared" si="14"/>
        <v>61.819156249540576</v>
      </c>
      <c r="CH71" s="304">
        <f t="shared" si="15"/>
        <v>99.627708753653252</v>
      </c>
      <c r="CI71" s="304">
        <f t="shared" si="16"/>
        <v>9.9953644551102538</v>
      </c>
      <c r="CJ71" s="304">
        <f t="shared" si="17"/>
        <v>0.10864526581641579</v>
      </c>
      <c r="CK71" s="304">
        <f t="shared" si="18"/>
        <v>30.203383896963587</v>
      </c>
      <c r="CL71" s="304">
        <f t="shared" si="19"/>
        <v>330.71618914516966</v>
      </c>
      <c r="CM71" s="304">
        <f t="shared" si="20"/>
        <v>1.6296789872462367</v>
      </c>
      <c r="CN71" s="304">
        <f t="shared" si="21"/>
        <v>32.810870276557566</v>
      </c>
      <c r="CO71" s="304">
        <f t="shared" si="22"/>
        <v>2.4988411137775635</v>
      </c>
      <c r="CP71" s="304">
        <f t="shared" si="23"/>
        <v>1.0864526581641578</v>
      </c>
      <c r="CQ71" s="304">
        <f t="shared" si="24"/>
        <v>1.9556147846954841</v>
      </c>
      <c r="CR71" s="304">
        <f t="shared" si="25"/>
        <v>1086.4526581641578</v>
      </c>
      <c r="CS71" s="305">
        <f t="shared" si="32"/>
        <v>0</v>
      </c>
      <c r="CV71" s="267" t="s">
        <v>169</v>
      </c>
      <c r="CW71" s="267" t="s">
        <v>169</v>
      </c>
      <c r="CX71" s="267">
        <f>INDEX($M$60:$Z$74,MATCH($CW71,$L$60:$L$74,0),MATCH(CX$61,$M$61:$Z$61,0))/INDEX(고양시_재차인원!$D$4:$H$35,MATCH("고양시",고양시_재차인원!$B$4:$B$35,0),MATCH($CX$60,고양시_재차인원!$D$4:$H$4,0))</f>
        <v>49.999265217864263</v>
      </c>
      <c r="CY71" s="267">
        <f>INDEX($M$60:$Z$74,MATCH($CW71,$L$60:$L$74,0),MATCH(CY$61,$M$61:$Z$61,0))/INDEX(고양시_재차인원!$K$4:$O$20,MATCH("경기도",고양시_재차인원!$K$4:$K$20,0),MATCH($CY$61,고양시_재차인원!$K$4:$O$4,0))</f>
        <v>4.1358521124587193E-4</v>
      </c>
      <c r="CZ71" s="267">
        <f>INDEX($M$60:$Z$74,MATCH($CW71,$L$60:$L$74,0),MATCH(CZ$61,$M$61:$Z$61,0))/INDEX(고양시_재차인원!$K$4:$O$20,MATCH("경기도",고양시_재차인원!$K$4:$K$20,0),MATCH($CZ$61,고양시_재차인원!$K$4:$O$4,0))</f>
        <v>0.11497668872635239</v>
      </c>
      <c r="DA71" s="267">
        <f>INDEX($M$60:$Z$74,MATCH($CW71,$L$60:$L$74,0),MATCH(DA$61,$M$61:$Z$61,0))/INDEX(고양시_재차인원!$D$4:$H$35,MATCH("고양시",고양시_재차인원!$B$4:$B$35,0),MATCH($CX$60,고양시_재차인원!$D$4:$H$4,0))</f>
        <v>3.210669380351904</v>
      </c>
      <c r="DB71" s="267">
        <f>INDEX($AA$60:$AN$74,MATCH($CW71,$L$60:$L$74,0),MATCH(DB$61,$AA$61:$AN$61,0))/INDEX(고양시_재차인원!$D$4:$H$35,MATCH("고양시",고양시_재차인원!$B$4:$B$35,0),MATCH($DB$60,고양시_재차인원!$D$4:$H$4,0))</f>
        <v>308.83480029385868</v>
      </c>
      <c r="DC71" s="267">
        <f>INDEX($AA$60:$AN$74,MATCH($CW71,$L$60:$L$74,0),MATCH(DC$61,$AA$61:$AN$61,0))/INDEX(고양시_재차인원!$K$4:$O$20,MATCH("경기도",고양시_재차인원!$K$4:$K$20,0),MATCH($DC$61,고양시_재차인원!$K$4:$O$4,0))</f>
        <v>3.2160937559335815E-3</v>
      </c>
      <c r="DD71" s="267">
        <f>INDEX($AA$60:$AN$74,MATCH($CW71,$L$60:$L$74,0),MATCH(DD$61,$AA$61:$AN$61,0))/INDEX(고양시_재차인원!$K$4:$O$20,MATCH("경기도",고양시_재차인원!$K$4:$K$20,0),MATCH($DD$61,고양시_재차인원!$K$4:$O$4,0))</f>
        <v>0.89407406414953561</v>
      </c>
      <c r="DE71" s="267">
        <f>INDEX($AA$60:$AN$74,MATCH($CW71,$L$60:$L$74,0),MATCH(DE$61,$AA$61:$AN$61,0))/INDEX(고양시_재차인원!$D$4:$H$35,MATCH("고양시",고양시_재차인원!$B$4:$B$35,0),MATCH($DB$60,고양시_재차인원!$D$4:$H$4,0))</f>
        <v>19.831620176216308</v>
      </c>
      <c r="DF71" s="267">
        <f>INDEX($AO$60:$BB$74,MATCH($CW71,$L$60:$L$74,0),MATCH(DF$61,$AO$61:$BB$61,0))/INDEX(고양시_재차인원!$D$4:$H$35,MATCH("고양시",고양시_재차인원!$B$4:$B$35,0),MATCH($DF$60,고양시_재차인원!$D$4:$H$4,0))</f>
        <v>14.847529474980215</v>
      </c>
      <c r="DG71" s="267">
        <f>INDEX($AO$60:$BB$74,MATCH($CW71,$L$60:$L$74,0),MATCH(DG$61,$AO$61:$BB$61,0))/INDEX(고양시_재차인원!$K$4:$O$20,MATCH("경기도",고양시_재차인원!$K$4:$K$20,0),MATCH($DG$61,고양시_재차인원!$K$4:$O$4,0))</f>
        <v>1.4255449133533104E-4</v>
      </c>
      <c r="DH71" s="267">
        <f>INDEX($AO$60:$BB$74,MATCH($CW71,$L$60:$L$74,0),MATCH(DH$61,$AO$61:$BB$61,0))/INDEX(고양시_재차인원!$K$4:$O$20,MATCH("경기도",고양시_재차인원!$K$4:$K$20,0),MATCH($DH$61,고양시_재차인원!$K$4:$O$4,0))</f>
        <v>3.963014859122202E-2</v>
      </c>
      <c r="DI71" s="267">
        <f>INDEX($AO$60:$BB$74,MATCH($CW71,$L$60:$L$74,0),MATCH(DI$61,$AO$61:$BB$61,0))/INDEX(고양시_재차인원!$D$4:$H$35,MATCH("고양시",고양시_재차인원!$B$4:$B$35,0),MATCH($DF$60,고양시_재차인원!$D$4:$H$4,0))</f>
        <v>0.95342417636487886</v>
      </c>
      <c r="DJ71" s="267">
        <f>INDEX($BC$60:$BP$74,MATCH($CW71,$L$60:$L$74,0),MATCH(DJ$61,$BC$61:$BP$61,0))/INDEX(고양시_재차인원!$D$4:$H$35,MATCH("고양시",고양시_재차인원!$B$4:$B$35,0),MATCH($DJ$60,고양시_재차인원!$D$4:$H$4,0))</f>
        <v>3.8488112298054204E-2</v>
      </c>
      <c r="DK71" s="267">
        <f>INDEX($BC$60:$BP$74,MATCH($CW71,$L$60:$L$74,0),MATCH(DK$61,$BC$61:$BP$61,0))/INDEX(고양시_재차인원!$K$4:$O$20,MATCH("경기도",고양시_재차인원!$K$4:$K$20,0),MATCH($DK$61,고양시_재차인원!$K$4:$O$4,0))</f>
        <v>3.8658845107886196E-7</v>
      </c>
      <c r="DL71" s="267">
        <f>INDEX($BC$60:$BP$74,MATCH($CW71,$L$60:$L$74,0),MATCH(DL$61,$BC$61:$BP$61,0))/INDEX(고양시_재차인원!$K$4:$O$20,MATCH("경기도",고양시_재차인원!$K$4:$K$20,0),MATCH($DL$61,고양시_재차인원!$K$4:$O$4,0))</f>
        <v>1.0747158939992359E-4</v>
      </c>
      <c r="DM71" s="267">
        <f>INDEX($BC$60:$BP$74,MATCH($CW71,$L$60:$L$74,0),MATCH(DM$61,$BC$61:$BP$61,0))/INDEX(고양시_재차인원!$D$4:$H$35,MATCH("고양시",고양시_재차인원!$B$4:$B$35,0),MATCH($DJ$60,고양시_재차인원!$D$4:$H$4,0))</f>
        <v>2.4714883933685669E-3</v>
      </c>
      <c r="DN71" s="267">
        <f>INDEX($BQ$60:$CD$74,MATCH($CW71,$L$60:$L$74,0),MATCH(DN$61,$BQ$61:$CD$61,0))/INDEX(고양시_재차인원!$D$4:$H$35,MATCH("고양시",고양시_재차인원!$B$4:$B$35,0),MATCH($DN$60,고양시_재차인원!$D$4:$H$4,0))</f>
        <v>0.11770438575807148</v>
      </c>
      <c r="DO71" s="267">
        <f>INDEX($BQ$60:$CD$74,MATCH($CW71,$L$60:$L$74,0),MATCH(DO$61,$BQ$61:$CD$61,0))/INDEX(고양시_재차인원!$K$4:$O$20,MATCH("경기도",고양시_재차인원!$K$4:$K$20,0),MATCH($DO$61,고양시_재차인원!$K$4:$O$4,0))</f>
        <v>1.0953339447234509E-6</v>
      </c>
      <c r="DP71" s="267">
        <f>INDEX($BQ$60:$CD$74,MATCH($CW71,$L$60:$L$74,0),MATCH(DP$61,$BQ$61:$CD$61,0))/INDEX(고양시_재차인원!$K$4:$O$20,MATCH("경기도",고양시_재차인원!$K$4:$K$20,0),MATCH($DP$61,고양시_재차인원!$K$4:$O$4,0))</f>
        <v>3.0450283663311934E-4</v>
      </c>
      <c r="DQ71" s="267">
        <f>INDEX($BQ$60:$CD$74,MATCH($CW71,$L$60:$L$74,0),MATCH(DQ$61,$BQ$61:$CD$61,0))/INDEX(고양시_재차인원!$D$4:$H$35,MATCH("고양시",고양시_재차인원!$B$4:$B$35,0),MATCH($DN$60,고양시_재차인원!$D$4:$H$4,0))</f>
        <v>7.5583084199314452E-3</v>
      </c>
      <c r="DR71" s="270">
        <f t="shared" si="33"/>
        <v>373.8377874847593</v>
      </c>
      <c r="DS71" s="270">
        <f t="shared" si="26"/>
        <v>3.7737153809105869E-3</v>
      </c>
      <c r="DT71" s="270">
        <f t="shared" si="27"/>
        <v>1.049092875893143</v>
      </c>
      <c r="DU71" s="270">
        <f t="shared" si="28"/>
        <v>24.005743529746393</v>
      </c>
      <c r="DW71" s="278" t="s">
        <v>169</v>
      </c>
      <c r="DX71" s="278" t="s">
        <v>169</v>
      </c>
      <c r="DY71" s="281">
        <f t="shared" si="41"/>
        <v>397.84353101450569</v>
      </c>
      <c r="DZ71" s="281">
        <f t="shared" si="42"/>
        <v>1.0528665912740536</v>
      </c>
      <c r="EB71" s="278" t="s">
        <v>170</v>
      </c>
      <c r="EC71" s="278" t="s">
        <v>170</v>
      </c>
      <c r="ED71" s="281">
        <f t="shared" si="45"/>
        <v>329.03970401710234</v>
      </c>
      <c r="EE71" s="281">
        <f t="shared" si="44"/>
        <v>0.87078181384248476</v>
      </c>
      <c r="EK71" s="420" t="s">
        <v>47</v>
      </c>
      <c r="EL71" s="420" t="s">
        <v>47</v>
      </c>
      <c r="EM71" s="420" t="s">
        <v>570</v>
      </c>
      <c r="EN71" s="420">
        <v>4861.8494000000001</v>
      </c>
      <c r="EO71" s="420">
        <v>0.50932407249705824</v>
      </c>
      <c r="EP71" s="421">
        <v>849010</v>
      </c>
      <c r="EQ71" s="422">
        <f t="shared" si="37"/>
        <v>122.69958016737912</v>
      </c>
      <c r="ER71" s="422">
        <f t="shared" si="38"/>
        <v>0.32471632350577484</v>
      </c>
      <c r="ES71">
        <v>0</v>
      </c>
      <c r="EU71" s="306" t="s">
        <v>47</v>
      </c>
      <c r="EV71" s="306" t="s">
        <v>47</v>
      </c>
      <c r="EW71" s="306" t="s">
        <v>570</v>
      </c>
      <c r="EX71" s="306">
        <v>4861.8494000000001</v>
      </c>
      <c r="EY71" s="306">
        <v>0.50932407249705824</v>
      </c>
      <c r="EZ71" s="307">
        <v>849010</v>
      </c>
      <c r="FA71" s="308">
        <f t="shared" si="39"/>
        <v>122.69958016737912</v>
      </c>
      <c r="FB71" s="308">
        <f t="shared" si="30"/>
        <v>0.32471632350577484</v>
      </c>
      <c r="FD71" s="101"/>
      <c r="FE71" s="101"/>
      <c r="FF71" s="101"/>
      <c r="FG71" s="101"/>
      <c r="FH71" s="101"/>
      <c r="FI71" s="374"/>
      <c r="FJ71" s="404"/>
      <c r="FK71" s="404"/>
    </row>
    <row r="72" spans="1:167" ht="25">
      <c r="A72" s="205" t="s">
        <v>170</v>
      </c>
      <c r="B72" s="205" t="s">
        <v>170</v>
      </c>
      <c r="C72" s="201">
        <f>$L39*KTDB_TripDistribution_2040!L$12</f>
        <v>98.478782567786681</v>
      </c>
      <c r="D72" s="201">
        <f>$L39*KTDB_TripDistribution_2040!M$12</f>
        <v>765.78414579701871</v>
      </c>
      <c r="E72" s="201">
        <f>$L39*KTDB_TripDistribution_2040!N$12</f>
        <v>33.943652661041845</v>
      </c>
      <c r="F72" s="201">
        <f>$L39*KTDB_TripDistribution_2040!O$12</f>
        <v>9.2050583487570656E-2</v>
      </c>
      <c r="G72" s="201">
        <f>$L39*KTDB_TripDistribution_2040!P$12</f>
        <v>0.26080998654811893</v>
      </c>
      <c r="H72" s="201">
        <f>$L39*KTDB_TripDistribution_2040!Q$12</f>
        <v>898.55944159588284</v>
      </c>
      <c r="I72" s="56"/>
      <c r="J72" s="56"/>
      <c r="K72" s="206" t="s">
        <v>170</v>
      </c>
      <c r="L72" s="206" t="s">
        <v>170</v>
      </c>
      <c r="M72" s="206">
        <f>INDEX($A$61:$H$74,MATCH($L72,$B$61:$B$74,0),MATCH($M$60,$A$61:$H$61,0))*고양시_Modal_split!C$3 * 0.01</f>
        <v>0.27574059118980271</v>
      </c>
      <c r="N72" s="206">
        <f>INDEX($A$61:$H$74,MATCH($L72,$B$61:$B$74,0),MATCH($M$60,$A$61:$H$61,0))*고양시_Modal_split!D$3 * 0.01</f>
        <v>46.314571441630079</v>
      </c>
      <c r="O72" s="206">
        <f>INDEX($A$61:$H$74,MATCH($L72,$B$61:$B$74,0),MATCH($M$60,$A$61:$H$61,0))*고양시_Modal_split!E$3 * 0.01</f>
        <v>5.6034427281070611</v>
      </c>
      <c r="P72" s="206">
        <f>INDEX($A$61:$H$74,MATCH($L72,$B$61:$B$74,0),MATCH($M$60,$A$61:$H$61,0))*고양시_Modal_split!F$3 * 0.01</f>
        <v>9.0305043614660381</v>
      </c>
      <c r="Q72" s="206">
        <f>INDEX($A$61:$H$74,MATCH($L72,$B$61:$B$74,0),MATCH($M$60,$A$61:$H$61,0))*고양시_Modal_split!G$3 * 0.01</f>
        <v>0.90600479962363734</v>
      </c>
      <c r="R72" s="206">
        <f>INDEX($A$61:$H$74,MATCH($L72,$B$61:$B$74,0),MATCH($M$60,$A$61:$H$61,0))*고양시_Modal_split!H$3 * 0.01</f>
        <v>9.8478782567786687E-3</v>
      </c>
      <c r="S72" s="206">
        <f>INDEX($A$61:$H$74,MATCH($L72,$B$61:$B$74,0),MATCH($M$60,$A$61:$H$61,0))*고양시_Modal_split!I$3 * 0.01</f>
        <v>2.7377101553844692</v>
      </c>
      <c r="T72" s="206">
        <f>INDEX($A$61:$H$74,MATCH($L72,$B$61:$B$74,0),MATCH($M$60,$A$61:$H$61,0))*고양시_Modal_split!J$3 * 0.01</f>
        <v>29.976941413634268</v>
      </c>
      <c r="U72" s="206">
        <f>INDEX($A$61:$H$74,MATCH($L72,$B$61:$B$74,0),MATCH($M$60,$A$61:$H$61,0))*고양시_Modal_split!K$3 * 0.01</f>
        <v>0.14771817385168001</v>
      </c>
      <c r="V72" s="206">
        <f>INDEX($A$61:$H$74,MATCH($L72,$B$61:$B$74,0),MATCH($M$60,$A$61:$H$61,0))*고양시_Modal_split!L$3 * 0.01</f>
        <v>2.9740592335471576</v>
      </c>
      <c r="W72" s="206">
        <f>INDEX($A$61:$H$74,MATCH($L72,$B$61:$B$74,0),MATCH($M$60,$A$61:$H$61,0))*고양시_Modal_split!M$3 * 0.01</f>
        <v>0.22650119990590933</v>
      </c>
      <c r="X72" s="206">
        <f>INDEX($A$61:$H$74,MATCH($L72,$B$61:$B$74,0),MATCH($M$60,$A$61:$H$61,0))*고양시_Modal_split!N$3 * 0.01</f>
        <v>9.8478782567786693E-2</v>
      </c>
      <c r="Y72" s="206">
        <f>INDEX($A$61:$H$74,MATCH($L72,$B$61:$B$74,0),MATCH($M$60,$A$61:$H$61,0))*고양시_Modal_split!O$3 * 0.01</f>
        <v>0.17726180862201601</v>
      </c>
      <c r="Z72" s="209">
        <f>INDEX($A$61:$H$74,MATCH($L72,$B$61:$B$74,0),MATCH($M$60,$A$61:$H$61,0))*고양시_Modal_split!P$3 * 0.01</f>
        <v>98.478782567786681</v>
      </c>
      <c r="AA72" s="207">
        <f>INDEX($A$61:$H$74,MATCH($L72,$B$61:$B$74,0),MATCH($AA$60,$A$61:$H$61,0))*고양시_Modal_split!C$3 * 0.01</f>
        <v>2.1441956082316525</v>
      </c>
      <c r="AB72" s="207">
        <f>INDEX($A$61:$H$74,MATCH($L72,$B$61:$B$74,0),MATCH($AA$60,$A$61:$H$61,0))*고양시_Modal_split!D$3 * 0.01</f>
        <v>360.14828376833793</v>
      </c>
      <c r="AC72" s="207">
        <f>INDEX($A$61:$H$74,MATCH($L72,$B$61:$B$74,0),MATCH($AA$60,$A$61:$H$61,0))*고양시_Modal_split!E$3 * 0.01</f>
        <v>43.573117895850366</v>
      </c>
      <c r="AD72" s="207">
        <f>INDEX($A$61:$H$74,MATCH($L72,$B$61:$B$74,0),MATCH($AA$60,$A$61:$H$61,0))*고양시_Modal_split!F$3 * 0.01</f>
        <v>70.22240616958662</v>
      </c>
      <c r="AE72" s="207">
        <f>INDEX($A$61:$H$74,MATCH($L72,$B$61:$B$74,0),MATCH($AA$60,$A$61:$H$61,0))*고양시_Modal_split!G$3 * 0.01</f>
        <v>7.045214141332572</v>
      </c>
      <c r="AF72" s="207">
        <f>INDEX($A$61:$H$74,MATCH($L72,$B$61:$B$74,0),MATCH($AA$60,$A$61:$H$61,0))*고양시_Modal_split!H$3 * 0.01</f>
        <v>7.6578414579701881E-2</v>
      </c>
      <c r="AG72" s="207">
        <f>INDEX($A$61:$H$74,MATCH($L72,$B$61:$B$74,0),MATCH($AA$60,$A$61:$H$61,0))*고양시_Modal_split!I$3 * 0.01</f>
        <v>21.288799253157119</v>
      </c>
      <c r="AH72" s="207">
        <f>INDEX($A$61:$H$74,MATCH($L72,$B$61:$B$74,0),MATCH($AA$60,$A$61:$H$61,0))*고양시_Modal_split!J$3 * 0.01</f>
        <v>233.1046939806125</v>
      </c>
      <c r="AI72" s="207">
        <f>INDEX($A$61:$H$74,MATCH($L72,$B$61:$B$74,0),MATCH($AA$60,$A$61:$H$61,0))*고양시_Modal_split!K$3 * 0.01</f>
        <v>1.1486762186955282</v>
      </c>
      <c r="AJ72" s="207">
        <f>INDEX($A$61:$H$74,MATCH($L72,$B$61:$B$74,0),MATCH($AA$60,$A$61:$H$61,0))*고양시_Modal_split!L$3 * 0.01</f>
        <v>23.126681203069968</v>
      </c>
      <c r="AK72" s="207">
        <f>INDEX($A$61:$H$74,MATCH($L72,$B$61:$B$74,0),MATCH($AA$60,$A$61:$H$61,0))*고양시_Modal_split!M$3 * 0.01</f>
        <v>1.761303535333143</v>
      </c>
      <c r="AL72" s="207">
        <f>INDEX($A$61:$H$74,MATCH($L72,$B$61:$B$74,0),MATCH($AA$60,$A$61:$H$61,0))*고양시_Modal_split!N$3 * 0.01</f>
        <v>0.7657841457970187</v>
      </c>
      <c r="AM72" s="207">
        <f>INDEX($A$61:$H$74,MATCH($L72,$B$61:$B$74,0),MATCH($AA$60,$A$61:$H$61,0))*고양시_Modal_split!O$3 * 0.01</f>
        <v>1.3784114624346335</v>
      </c>
      <c r="AN72" s="207">
        <f>INDEX($A$61:$H$74,MATCH($L72,$B$61:$B$74,0),MATCH($AA$60,$A$61:$H$61,0))*고양시_Modal_split!P$3 * 0.01</f>
        <v>765.78414579701871</v>
      </c>
      <c r="AO72" s="303">
        <f>INDEX($A$61:$H$74,MATCH($L72,$B$61:$B$74,0),MATCH($AO$60,$A$61:$H$61,0))*고양시_Modal_split!C$3 * 0.01</f>
        <v>9.5042227450917158E-2</v>
      </c>
      <c r="AP72" s="303">
        <f>INDEX($A$61:$H$74,MATCH($L72,$B$61:$B$74,0),MATCH($AO$60,$A$61:$H$61,0))*고양시_Modal_split!D$3 * 0.01</f>
        <v>15.96369984648798</v>
      </c>
      <c r="AQ72" s="303">
        <f>INDEX($A$61:$H$74,MATCH($L72,$B$61:$B$74,0),MATCH($AO$60,$A$61:$H$61,0))*고양시_Modal_split!E$3 * 0.01</f>
        <v>1.931393836413281</v>
      </c>
      <c r="AR72" s="303">
        <f>INDEX($A$61:$H$74,MATCH($L72,$B$61:$B$74,0),MATCH($AO$60,$A$61:$H$61,0))*고양시_Modal_split!F$3 * 0.01</f>
        <v>3.1126329490175375</v>
      </c>
      <c r="AS72" s="303">
        <f>INDEX($A$61:$H$74,MATCH($L72,$B$61:$B$74,0),MATCH($AO$60,$A$61:$H$61,0))*고양시_Modal_split!G$3 * 0.01</f>
        <v>0.31228160448158493</v>
      </c>
      <c r="AT72" s="303">
        <f>INDEX($A$61:$H$74,MATCH($L72,$B$61:$B$74,0),MATCH($AO$60,$A$61:$H$61,0))*고양시_Modal_split!H$3 * 0.01</f>
        <v>3.3943652661041846E-3</v>
      </c>
      <c r="AU72" s="303">
        <f>INDEX($A$61:$H$74,MATCH($L72,$B$61:$B$74,0),MATCH($AO$60,$A$61:$H$61,0))*고양시_Modal_split!I$3 * 0.01</f>
        <v>0.94363354397696331</v>
      </c>
      <c r="AV72" s="303">
        <f>INDEX($A$61:$H$74,MATCH($L72,$B$61:$B$74,0),MATCH($AO$60,$A$61:$H$61,0))*고양시_Modal_split!J$3 * 0.01</f>
        <v>10.332447870021138</v>
      </c>
      <c r="AW72" s="303">
        <f>INDEX($A$61:$H$74,MATCH($L72,$B$61:$B$74,0),MATCH($AO$60,$A$61:$H$61,0))*고양시_Modal_split!K$3 * 0.01</f>
        <v>5.091547899156277E-2</v>
      </c>
      <c r="AX72" s="303">
        <f>INDEX($A$61:$H$74,MATCH($L72,$B$61:$B$74,0),MATCH($AO$60,$A$61:$H$61,0))*고양시_Modal_split!L$3 * 0.01</f>
        <v>1.0250983103634637</v>
      </c>
      <c r="AY72" s="303">
        <f>INDEX($A$61:$H$74,MATCH($L72,$B$61:$B$74,0),MATCH($AO$60,$A$61:$H$61,0))*고양시_Modal_split!M$3 * 0.01</f>
        <v>7.8070401120396232E-2</v>
      </c>
      <c r="AZ72" s="303">
        <f>INDEX($A$61:$H$74,MATCH($L72,$B$61:$B$74,0),MATCH($AO$60,$A$61:$H$61,0))*고양시_Modal_split!N$3 * 0.01</f>
        <v>3.3943652661041844E-2</v>
      </c>
      <c r="BA72" s="207">
        <f>INDEX($A$61:$H$74,MATCH($L72,$B$61:$B$74,0),MATCH($AO$60,$A$61:$H$61,0))*고양시_Modal_split!O$3 * 0.01</f>
        <v>6.1098574789875321E-2</v>
      </c>
      <c r="BB72" s="207">
        <f>INDEX($A$61:$H$74,MATCH($L72,$B$61:$B$74,0),MATCH($AO$60,$A$61:$H$61,0))*고양시_Modal_split!P$3 * 0.01</f>
        <v>33.943652661041845</v>
      </c>
      <c r="BC72" s="207">
        <f>INDEX($A$61:$H$74,MATCH($L72,$B$61:$B$74,0),MATCH($BC$60,$A$61:$H$61,0))*고양시_Modal_split!C$3 * 0.01</f>
        <v>2.5774163376519779E-4</v>
      </c>
      <c r="BD72" s="207">
        <f>INDEX($A$61:$H$74,MATCH($L72,$B$61:$B$74,0),MATCH($BC$60,$A$61:$H$61,0))*고양시_Modal_split!D$3 * 0.01</f>
        <v>4.3291389414204476E-2</v>
      </c>
      <c r="BE72" s="207">
        <f>INDEX($A$61:$H$74,MATCH($L72,$B$61:$B$74,0),MATCH($BC$60,$A$61:$H$61,0))*고양시_Modal_split!E$3 * 0.01</f>
        <v>5.23767820044277E-3</v>
      </c>
      <c r="BF72" s="207">
        <f>INDEX($A$61:$H$74,MATCH($L72,$B$61:$B$74,0),MATCH($BC$60,$A$61:$H$61,0))*고양시_Modal_split!F$3 * 0.01</f>
        <v>8.4410385058102284E-3</v>
      </c>
      <c r="BG72" s="207">
        <f>INDEX($A$61:$H$74,MATCH($L72,$B$61:$B$74,0),MATCH($BC$60,$A$61:$H$61,0))*고양시_Modal_split!G$3 * 0.01</f>
        <v>8.4686536808564999E-4</v>
      </c>
      <c r="BH72" s="207">
        <f>INDEX($A$61:$H$74,MATCH($L72,$B$61:$B$74,0),MATCH($BC$60,$A$61:$H$61,0))*고양시_Modal_split!H$3 * 0.01</f>
        <v>9.2050583487570656E-6</v>
      </c>
      <c r="BI72" s="207">
        <f>INDEX($A$61:$H$74,MATCH($L72,$B$61:$B$74,0),MATCH($BC$60,$A$61:$H$61,0))*고양시_Modal_split!I$3 * 0.01</f>
        <v>2.5590062209544639E-3</v>
      </c>
      <c r="BJ72" s="207">
        <f>INDEX($A$61:$H$74,MATCH($L72,$B$61:$B$74,0),MATCH($BC$60,$A$61:$H$61,0))*고양시_Modal_split!J$3 * 0.01</f>
        <v>2.8020197613616512E-2</v>
      </c>
      <c r="BK72" s="207">
        <f>INDEX($A$61:$H$74,MATCH($L72,$B$61:$B$74,0),MATCH($BC$60,$A$61:$H$61,0))*고양시_Modal_split!K$3 * 0.01</f>
        <v>1.3807587523135599E-4</v>
      </c>
      <c r="BL72" s="207">
        <f>INDEX($A$61:$H$74,MATCH($L72,$B$61:$B$74,0),MATCH($BC$60,$A$61:$H$61,0))*고양시_Modal_split!L$3 * 0.01</f>
        <v>2.7799276213246338E-3</v>
      </c>
      <c r="BM72" s="207">
        <f>INDEX($A$61:$H$74,MATCH($L72,$B$61:$B$74,0),MATCH($BC$60,$A$61:$H$61,0))*고양시_Modal_split!M$3 * 0.01</f>
        <v>2.117163420214125E-4</v>
      </c>
      <c r="BN72" s="207">
        <f>INDEX($A$61:$H$74,MATCH($L72,$B$61:$B$74,0),MATCH($BC$60,$A$61:$H$61,0))*고양시_Modal_split!N$3 * 0.01</f>
        <v>9.2050583487570653E-5</v>
      </c>
      <c r="BO72" s="207">
        <f>INDEX($A$61:$H$74,MATCH($L72,$B$61:$B$74,0),MATCH($BC$60,$A$61:$H$61,0))*고양시_Modal_split!O$3 * 0.01</f>
        <v>1.6569105027762718E-4</v>
      </c>
      <c r="BP72" s="207">
        <f>INDEX($A$61:$H$74,MATCH($L72,$B$61:$B$74,0),MATCH($BC$60,$A$61:$H$61,0))*고양시_Modal_split!P$3 * 0.01</f>
        <v>9.2050583487570656E-2</v>
      </c>
      <c r="BQ72" s="207">
        <f>INDEX($A$61:$H$74,MATCH($L72,$B$61:$B$74,0),MATCH($BQ$60,$A$61:$H$61,0))*고양시_Modal_split!C$3 * 0.01</f>
        <v>7.3026796233473289E-4</v>
      </c>
      <c r="BR72" s="207">
        <f>INDEX($A$61:$H$74,MATCH($L72,$B$61:$B$74,0),MATCH($BQ$60,$A$61:$H$61,0))*고양시_Modal_split!D$3 * 0.01</f>
        <v>0.12265893667358034</v>
      </c>
      <c r="BS72" s="207">
        <f>INDEX($A$61:$H$74,MATCH($L72,$B$61:$B$74,0),MATCH($BQ$60,$A$61:$H$61,0))*고양시_Modal_split!E$3 * 0.01</f>
        <v>1.4840088234587967E-2</v>
      </c>
      <c r="BT72" s="207">
        <f>INDEX($A$61:$H$74,MATCH($L72,$B$61:$B$74,0),MATCH($BQ$60,$A$61:$H$61,0))*고양시_Modal_split!F$3 * 0.01</f>
        <v>2.3916275766462505E-2</v>
      </c>
      <c r="BU72" s="207">
        <f>INDEX($A$61:$H$74,MATCH($L72,$B$61:$B$74,0),MATCH($BQ$60,$A$61:$H$61,0))*고양시_Modal_split!G$3 * 0.01</f>
        <v>2.3994518762426938E-3</v>
      </c>
      <c r="BV72" s="207">
        <f>INDEX($A$61:$H$74,MATCH($L72,$B$61:$B$74,0),MATCH($BQ$60,$A$61:$H$61,0))*고양시_Modal_split!H$3 * 0.01</f>
        <v>2.6080998654811892E-5</v>
      </c>
      <c r="BW72" s="207">
        <f>INDEX($A$61:$H$74,MATCH($L72,$B$61:$B$74,0),MATCH($BQ$60,$A$61:$H$61,0))*고양시_Modal_split!I$3 * 0.01</f>
        <v>7.2505176260377058E-3</v>
      </c>
      <c r="BX72" s="207">
        <f>INDEX($A$61:$H$74,MATCH($L72,$B$61:$B$74,0),MATCH($BQ$60,$A$61:$H$61,0))*고양시_Modal_split!J$3 * 0.01</f>
        <v>7.9390559905247418E-2</v>
      </c>
      <c r="BY72" s="207">
        <f>INDEX($A$61:$H$74,MATCH($L72,$B$61:$B$74,0),MATCH($BQ$60,$A$61:$H$61,0))*고양시_Modal_split!K$3 * 0.01</f>
        <v>3.9121497982217839E-4</v>
      </c>
      <c r="BZ72" s="207">
        <f>INDEX($A$61:$H$74,MATCH($L72,$B$61:$B$74,0),MATCH($BQ$60,$A$61:$H$61,0))*고양시_Modal_split!L$3 * 0.01</f>
        <v>7.876461593753192E-3</v>
      </c>
      <c r="CA72" s="207">
        <f>INDEX($A$61:$H$74,MATCH($L72,$B$61:$B$74,0),MATCH($BQ$60,$A$61:$H$61,0))*고양시_Modal_split!M$3 * 0.01</f>
        <v>5.9986296906067345E-4</v>
      </c>
      <c r="CB72" s="207">
        <f>INDEX($A$61:$H$74,MATCH($L72,$B$61:$B$74,0),MATCH($BQ$60,$A$61:$H$61,0))*고양시_Modal_split!N$3 * 0.01</f>
        <v>2.6080998654811894E-4</v>
      </c>
      <c r="CC72" s="207">
        <f>INDEX($A$61:$H$74,MATCH($L72,$B$61:$B$74,0),MATCH($BQ$60,$A$61:$H$61,0))*고양시_Modal_split!O$3 * 0.01</f>
        <v>4.6945797578661411E-4</v>
      </c>
      <c r="CD72" s="207">
        <f>INDEX($A$61:$H$74,MATCH($L72,$B$61:$B$74,0),MATCH($BQ$60,$A$61:$H$61,0))*고양시_Modal_split!P$3 * 0.01</f>
        <v>0.26080998654811893</v>
      </c>
      <c r="CE72" s="304">
        <f t="shared" si="31"/>
        <v>2.5159664364684722</v>
      </c>
      <c r="CF72" s="304">
        <f t="shared" si="13"/>
        <v>422.59250538254378</v>
      </c>
      <c r="CG72" s="304">
        <f t="shared" si="14"/>
        <v>51.128032226805736</v>
      </c>
      <c r="CH72" s="304">
        <f t="shared" si="15"/>
        <v>82.397900794342476</v>
      </c>
      <c r="CI72" s="304">
        <f t="shared" si="16"/>
        <v>8.2667468626821243</v>
      </c>
      <c r="CJ72" s="304">
        <f t="shared" si="17"/>
        <v>8.9855944159588308E-2</v>
      </c>
      <c r="CK72" s="304">
        <f t="shared" si="18"/>
        <v>24.979952476365547</v>
      </c>
      <c r="CL72" s="304">
        <f t="shared" si="19"/>
        <v>273.52149402178674</v>
      </c>
      <c r="CM72" s="304">
        <f t="shared" si="20"/>
        <v>1.3478391623938244</v>
      </c>
      <c r="CN72" s="304">
        <f t="shared" si="21"/>
        <v>27.13649513619567</v>
      </c>
      <c r="CO72" s="304">
        <f t="shared" si="22"/>
        <v>2.0666867156705311</v>
      </c>
      <c r="CP72" s="304">
        <f t="shared" si="23"/>
        <v>0.89855944159588286</v>
      </c>
      <c r="CQ72" s="304">
        <f t="shared" si="24"/>
        <v>1.6174069948725893</v>
      </c>
      <c r="CR72" s="304">
        <f t="shared" si="25"/>
        <v>898.55944159588284</v>
      </c>
      <c r="CS72" s="305">
        <f t="shared" si="32"/>
        <v>0</v>
      </c>
      <c r="CV72" s="267" t="s">
        <v>170</v>
      </c>
      <c r="CW72" s="267" t="s">
        <v>170</v>
      </c>
      <c r="CX72" s="267">
        <f>INDEX($M$60:$Z$74,MATCH($CW72,$L$60:$L$74,0),MATCH(CX$61,$M$61:$Z$61,0))/INDEX(고양시_재차인원!$D$4:$H$35,MATCH("고양시",고양시_재차인원!$B$4:$B$35,0),MATCH($CX$60,고양시_재차인원!$D$4:$H$4,0))</f>
        <v>41.352295930026855</v>
      </c>
      <c r="CY72" s="267">
        <f>INDEX($M$60:$Z$74,MATCH($CW72,$L$60:$L$74,0),MATCH(CY$61,$M$61:$Z$61,0))/INDEX(고양시_재차인원!$K$4:$O$20,MATCH("경기도",고양시_재차인원!$K$4:$K$20,0),MATCH($CY$61,고양시_재차인원!$K$4:$O$4,0))</f>
        <v>3.420589877311104E-4</v>
      </c>
      <c r="CZ72" s="267">
        <f>INDEX($M$60:$Z$74,MATCH($CW72,$L$60:$L$74,0),MATCH(CZ$61,$M$61:$Z$61,0))/INDEX(고양시_재차인원!$K$4:$O$20,MATCH("경기도",고양시_재차인원!$K$4:$K$20,0),MATCH($CZ$61,고양시_재차인원!$K$4:$O$4,0))</f>
        <v>9.5092398589248672E-2</v>
      </c>
      <c r="DA72" s="267">
        <f>INDEX($M$60:$Z$74,MATCH($CW72,$L$60:$L$74,0),MATCH(DA$61,$M$61:$Z$61,0))/INDEX(고양시_재차인원!$D$4:$H$35,MATCH("고양시",고양시_재차인원!$B$4:$B$35,0),MATCH($CX$60,고양시_재차인원!$D$4:$H$4,0))</f>
        <v>2.6554100299528192</v>
      </c>
      <c r="DB72" s="267">
        <f>INDEX($AA$60:$AN$74,MATCH($CW72,$L$60:$L$74,0),MATCH(DB$61,$AA$61:$AN$61,0))/INDEX(고양시_재차인원!$D$4:$H$35,MATCH("고양시",고양시_재차인원!$B$4:$B$35,0),MATCH($DB$60,고양시_재차인원!$D$4:$H$4,0))</f>
        <v>255.4243147293177</v>
      </c>
      <c r="DC72" s="267">
        <f>INDEX($AA$60:$AN$74,MATCH($CW72,$L$60:$L$74,0),MATCH(DC$61,$AA$61:$AN$61,0))/INDEX(고양시_재차인원!$K$4:$O$20,MATCH("경기도",고양시_재차인원!$K$4:$K$20,0),MATCH($DC$61,고양시_재차인원!$K$4:$O$4,0))</f>
        <v>2.6598963035672761E-3</v>
      </c>
      <c r="DD72" s="267">
        <f>INDEX($AA$60:$AN$74,MATCH($CW72,$L$60:$L$74,0),MATCH(DD$61,$AA$61:$AN$61,0))/INDEX(고양시_재차인원!$K$4:$O$20,MATCH("경기도",고양시_재차인원!$K$4:$K$20,0),MATCH($DD$61,고양시_재차인원!$K$4:$O$4,0))</f>
        <v>0.73945117239170266</v>
      </c>
      <c r="DE72" s="267">
        <f>INDEX($AA$60:$AN$74,MATCH($CW72,$L$60:$L$74,0),MATCH(DE$61,$AA$61:$AN$61,0))/INDEX(고양시_재차인원!$D$4:$H$35,MATCH("고양시",고양시_재차인원!$B$4:$B$35,0),MATCH($DB$60,고양시_재차인원!$D$4:$H$4,0))</f>
        <v>16.401901562460971</v>
      </c>
      <c r="DF72" s="267">
        <f>INDEX($AO$60:$BB$74,MATCH($CW72,$L$60:$L$74,0),MATCH(DF$61,$AO$61:$BB$61,0))/INDEX(고양시_재차인원!$D$4:$H$35,MATCH("고양시",고양시_재차인원!$B$4:$B$35,0),MATCH($DF$60,고양시_재차인원!$D$4:$H$4,0))</f>
        <v>12.279769112683061</v>
      </c>
      <c r="DG72" s="267">
        <f>INDEX($AO$60:$BB$74,MATCH($CW72,$L$60:$L$74,0),MATCH(DG$61,$AO$61:$BB$61,0))/INDEX(고양시_재차인원!$K$4:$O$20,MATCH("경기도",고양시_재차인원!$K$4:$K$20,0),MATCH($DG$61,고양시_재차인원!$K$4:$O$4,0))</f>
        <v>1.1790084286572367E-4</v>
      </c>
      <c r="DH72" s="267">
        <f>INDEX($AO$60:$BB$74,MATCH($CW72,$L$60:$L$74,0),MATCH(DH$61,$AO$61:$BB$61,0))/INDEX(고양시_재차인원!$K$4:$O$20,MATCH("경기도",고양시_재차인원!$K$4:$K$20,0),MATCH($DH$61,고양시_재차인원!$K$4:$O$4,0))</f>
        <v>3.2776434316671182E-2</v>
      </c>
      <c r="DI72" s="267">
        <f>INDEX($AO$60:$BB$74,MATCH($CW72,$L$60:$L$74,0),MATCH(DI$61,$AO$61:$BB$61,0))/INDEX(고양시_재차인원!$D$4:$H$35,MATCH("고양시",고양시_재차인원!$B$4:$B$35,0),MATCH($DF$60,고양시_재차인원!$D$4:$H$4,0))</f>
        <v>0.78853716181804889</v>
      </c>
      <c r="DJ72" s="267">
        <f>INDEX($BC$60:$BP$74,MATCH($CW72,$L$60:$L$74,0),MATCH(DJ$61,$BC$61:$BP$61,0))/INDEX(고양시_재차인원!$D$4:$H$35,MATCH("고양시",고양시_재차인원!$B$4:$B$35,0),MATCH($DJ$60,고양시_재차인원!$D$4:$H$4,0))</f>
        <v>3.1831903981032701E-2</v>
      </c>
      <c r="DK72" s="267">
        <f>INDEX($BC$60:$BP$74,MATCH($CW72,$L$60:$L$74,0),MATCH(DK$61,$BC$61:$BP$61,0))/INDEX(고양시_재차인원!$K$4:$O$20,MATCH("경기도",고양시_재차인원!$K$4:$K$20,0),MATCH($DK$61,고양시_재차인원!$K$4:$O$4,0))</f>
        <v>3.1973109929687619E-7</v>
      </c>
      <c r="DL72" s="267">
        <f>INDEX($BC$60:$BP$74,MATCH($CW72,$L$60:$L$74,0),MATCH(DL$61,$BC$61:$BP$61,0))/INDEX(고양시_재차인원!$K$4:$O$20,MATCH("경기도",고양시_재차인원!$K$4:$K$20,0),MATCH($DL$61,고양시_재차인원!$K$4:$O$4,0))</f>
        <v>8.8885245604531572E-5</v>
      </c>
      <c r="DM72" s="267">
        <f>INDEX($BC$60:$BP$74,MATCH($CW72,$L$60:$L$74,0),MATCH(DM$61,$BC$61:$BP$61,0))/INDEX(고양시_재차인원!$D$4:$H$35,MATCH("고양시",고양시_재차인원!$B$4:$B$35,0),MATCH($DJ$60,고양시_재차인원!$D$4:$H$4,0))</f>
        <v>2.0440644274445836E-3</v>
      </c>
      <c r="DN72" s="267">
        <f>INDEX($BQ$60:$CD$74,MATCH($CW72,$L$60:$L$74,0),MATCH(DN$61,$BQ$61:$CD$61,0))/INDEX(고양시_재차인원!$D$4:$H$35,MATCH("고양시",고양시_재차인원!$B$4:$B$35,0),MATCH($DN$60,고양시_재차인원!$D$4:$H$4,0))</f>
        <v>9.7348362439349481E-2</v>
      </c>
      <c r="DO72" s="267">
        <f>INDEX($BQ$60:$CD$74,MATCH($CW72,$L$60:$L$74,0),MATCH(DO$61,$BQ$61:$CD$61,0))/INDEX(고양시_재차인원!$K$4:$O$20,MATCH("경기도",고양시_재차인원!$K$4:$K$20,0),MATCH($DO$61,고양시_재차인원!$K$4:$O$4,0))</f>
        <v>9.0590478134115645E-7</v>
      </c>
      <c r="DP72" s="267">
        <f>INDEX($BQ$60:$CD$74,MATCH($CW72,$L$60:$L$74,0),MATCH(DP$61,$BQ$61:$CD$61,0))/INDEX(고양시_재차인원!$K$4:$O$20,MATCH("경기도",고양시_재차인원!$K$4:$K$20,0),MATCH($DP$61,고양시_재차인원!$K$4:$O$4,0))</f>
        <v>2.5184152921284145E-4</v>
      </c>
      <c r="DQ72" s="267">
        <f>INDEX($BQ$60:$CD$74,MATCH($CW72,$L$60:$L$74,0),MATCH(DQ$61,$BQ$61:$CD$61,0))/INDEX(고양시_재차인원!$D$4:$H$35,MATCH("고양시",고양시_재차인원!$B$4:$B$35,0),MATCH($DN$60,고양시_재차인원!$D$4:$H$4,0))</f>
        <v>6.2511599950422162E-3</v>
      </c>
      <c r="DR72" s="270">
        <f t="shared" si="33"/>
        <v>309.18556003844799</v>
      </c>
      <c r="DS72" s="270">
        <f t="shared" si="26"/>
        <v>3.1210817700447484E-3</v>
      </c>
      <c r="DT72" s="270">
        <f t="shared" si="27"/>
        <v>0.86766073207243999</v>
      </c>
      <c r="DU72" s="270">
        <f t="shared" si="28"/>
        <v>19.854143978654324</v>
      </c>
      <c r="DW72" s="278" t="s">
        <v>170</v>
      </c>
      <c r="DX72" s="278" t="s">
        <v>170</v>
      </c>
      <c r="DY72" s="281">
        <f t="shared" si="41"/>
        <v>329.03970401710234</v>
      </c>
      <c r="DZ72" s="281">
        <f t="shared" si="42"/>
        <v>0.87078181384248476</v>
      </c>
      <c r="EB72" s="278" t="s">
        <v>171</v>
      </c>
      <c r="EC72" s="278" t="s">
        <v>171</v>
      </c>
      <c r="ED72" s="281">
        <f t="shared" si="45"/>
        <v>13.215174873710257</v>
      </c>
      <c r="EE72" s="281">
        <f t="shared" si="44"/>
        <v>3.4973086245473059E-2</v>
      </c>
      <c r="EK72" s="420" t="s">
        <v>47</v>
      </c>
      <c r="EL72" s="420" t="s">
        <v>47</v>
      </c>
      <c r="EM72" s="420" t="s">
        <v>571</v>
      </c>
      <c r="EN72" s="420">
        <v>2430.8498</v>
      </c>
      <c r="EO72" s="420">
        <v>0.25465418977491561</v>
      </c>
      <c r="EP72" s="421">
        <v>849011</v>
      </c>
      <c r="EQ72" s="422">
        <f t="shared" si="37"/>
        <v>61.347899815645775</v>
      </c>
      <c r="ER72" s="422">
        <f t="shared" si="38"/>
        <v>0.16235315928353272</v>
      </c>
      <c r="ES72">
        <v>0</v>
      </c>
      <c r="EU72" s="306" t="s">
        <v>47</v>
      </c>
      <c r="EV72" s="306" t="s">
        <v>47</v>
      </c>
      <c r="EW72" s="306" t="s">
        <v>571</v>
      </c>
      <c r="EX72" s="306">
        <v>2430.8498</v>
      </c>
      <c r="EY72" s="306">
        <v>0.25465418977491561</v>
      </c>
      <c r="EZ72" s="307">
        <v>849011</v>
      </c>
      <c r="FA72" s="308">
        <f t="shared" si="39"/>
        <v>61.347899815645775</v>
      </c>
      <c r="FB72" s="308">
        <f t="shared" si="30"/>
        <v>0.16235315928353272</v>
      </c>
      <c r="FD72" s="101"/>
      <c r="FE72" s="101"/>
      <c r="FF72" s="101"/>
      <c r="FG72" s="101"/>
      <c r="FH72" s="101"/>
      <c r="FI72" s="374"/>
      <c r="FJ72" s="404"/>
      <c r="FK72" s="404"/>
    </row>
    <row r="73" spans="1:167">
      <c r="A73" s="205" t="s">
        <v>171</v>
      </c>
      <c r="B73" s="205" t="s">
        <v>171</v>
      </c>
      <c r="C73" s="201">
        <f>$L40*KTDB_TripDistribution_2040!L$12</f>
        <v>3.9551893497805586</v>
      </c>
      <c r="D73" s="201">
        <f>$L40*KTDB_TripDistribution_2040!M$12</f>
        <v>30.756079824629413</v>
      </c>
      <c r="E73" s="201">
        <f>$L40*KTDB_TripDistribution_2040!N$12</f>
        <v>1.363274098206803</v>
      </c>
      <c r="F73" s="201">
        <f>$L40*KTDB_TripDistribution_2040!O$12</f>
        <v>3.6970145036116508E-3</v>
      </c>
      <c r="G73" s="201">
        <f>$L40*KTDB_TripDistribution_2040!P$12</f>
        <v>1.0474874426899761E-2</v>
      </c>
      <c r="H73" s="201">
        <f>$L40*KTDB_TripDistribution_2040!Q$12</f>
        <v>36.088715161547285</v>
      </c>
      <c r="I73" s="56"/>
      <c r="J73" s="56"/>
      <c r="K73" s="206" t="s">
        <v>171</v>
      </c>
      <c r="L73" s="206" t="s">
        <v>171</v>
      </c>
      <c r="M73" s="206">
        <f>INDEX($A$61:$H$74,MATCH($L73,$B$61:$B$74,0),MATCH($M$60,$A$61:$H$61,0))*고양시_Modal_split!C$3 * 0.01</f>
        <v>1.1074530179385563E-2</v>
      </c>
      <c r="N73" s="206">
        <f>INDEX($A$61:$H$74,MATCH($L73,$B$61:$B$74,0),MATCH($M$60,$A$61:$H$61,0))*고양시_Modal_split!D$3 * 0.01</f>
        <v>1.8601255512017969</v>
      </c>
      <c r="O73" s="206">
        <f>INDEX($A$61:$H$74,MATCH($L73,$B$61:$B$74,0),MATCH($M$60,$A$61:$H$61,0))*고양시_Modal_split!E$3 * 0.01</f>
        <v>0.22505027400251376</v>
      </c>
      <c r="P73" s="206">
        <f>INDEX($A$61:$H$74,MATCH($L73,$B$61:$B$74,0),MATCH($M$60,$A$61:$H$61,0))*고양시_Modal_split!F$3 * 0.01</f>
        <v>0.36269086337487721</v>
      </c>
      <c r="Q73" s="206">
        <f>INDEX($A$61:$H$74,MATCH($L73,$B$61:$B$74,0),MATCH($M$60,$A$61:$H$61,0))*고양시_Modal_split!G$3 * 0.01</f>
        <v>3.6387742017981138E-2</v>
      </c>
      <c r="R73" s="206">
        <f>INDEX($A$61:$H$74,MATCH($L73,$B$61:$B$74,0),MATCH($M$60,$A$61:$H$61,0))*고양시_Modal_split!H$3 * 0.01</f>
        <v>3.9551893497805589E-4</v>
      </c>
      <c r="S73" s="206">
        <f>INDEX($A$61:$H$74,MATCH($L73,$B$61:$B$74,0),MATCH($M$60,$A$61:$H$61,0))*고양시_Modal_split!I$3 * 0.01</f>
        <v>0.10995426392389952</v>
      </c>
      <c r="T73" s="206">
        <f>INDEX($A$61:$H$74,MATCH($L73,$B$61:$B$74,0),MATCH($M$60,$A$61:$H$61,0))*고양시_Modal_split!J$3 * 0.01</f>
        <v>1.2039596380732023</v>
      </c>
      <c r="U73" s="206">
        <f>INDEX($A$61:$H$74,MATCH($L73,$B$61:$B$74,0),MATCH($M$60,$A$61:$H$61,0))*고양시_Modal_split!K$3 * 0.01</f>
        <v>5.9327840246708374E-3</v>
      </c>
      <c r="V73" s="206">
        <f>INDEX($A$61:$H$74,MATCH($L73,$B$61:$B$74,0),MATCH($M$60,$A$61:$H$61,0))*고양시_Modal_split!L$3 * 0.01</f>
        <v>0.11944671836337287</v>
      </c>
      <c r="W73" s="206">
        <f>INDEX($A$61:$H$74,MATCH($L73,$B$61:$B$74,0),MATCH($M$60,$A$61:$H$61,0))*고양시_Modal_split!M$3 * 0.01</f>
        <v>9.0969355044952845E-3</v>
      </c>
      <c r="X73" s="206">
        <f>INDEX($A$61:$H$74,MATCH($L73,$B$61:$B$74,0),MATCH($M$60,$A$61:$H$61,0))*고양시_Modal_split!N$3 * 0.01</f>
        <v>3.9551893497805591E-3</v>
      </c>
      <c r="Y73" s="206">
        <f>INDEX($A$61:$H$74,MATCH($L73,$B$61:$B$74,0),MATCH($M$60,$A$61:$H$61,0))*고양시_Modal_split!O$3 * 0.01</f>
        <v>7.1193408296050054E-3</v>
      </c>
      <c r="Z73" s="209">
        <f>INDEX($A$61:$H$74,MATCH($L73,$B$61:$B$74,0),MATCH($M$60,$A$61:$H$61,0))*고양시_Modal_split!P$3 * 0.01</f>
        <v>3.955189349780559</v>
      </c>
      <c r="AA73" s="207">
        <f>INDEX($A$61:$H$74,MATCH($L73,$B$61:$B$74,0),MATCH($AA$60,$A$61:$H$61,0))*고양시_Modal_split!C$3 * 0.01</f>
        <v>8.6117023508962345E-2</v>
      </c>
      <c r="AB73" s="207">
        <f>INDEX($A$61:$H$74,MATCH($L73,$B$61:$B$74,0),MATCH($AA$60,$A$61:$H$61,0))*고양시_Modal_split!D$3 * 0.01</f>
        <v>14.464584341523214</v>
      </c>
      <c r="AC73" s="207">
        <f>INDEX($A$61:$H$74,MATCH($L73,$B$61:$B$74,0),MATCH($AA$60,$A$61:$H$61,0))*고양시_Modal_split!E$3 * 0.01</f>
        <v>1.7500209420214135</v>
      </c>
      <c r="AD73" s="207">
        <f>INDEX($A$61:$H$74,MATCH($L73,$B$61:$B$74,0),MATCH($AA$60,$A$61:$H$61,0))*고양시_Modal_split!F$3 * 0.01</f>
        <v>2.8203325199185172</v>
      </c>
      <c r="AE73" s="207">
        <f>INDEX($A$61:$H$74,MATCH($L73,$B$61:$B$74,0),MATCH($AA$60,$A$61:$H$61,0))*고양시_Modal_split!G$3 * 0.01</f>
        <v>0.28295593438659056</v>
      </c>
      <c r="AF73" s="207">
        <f>INDEX($A$61:$H$74,MATCH($L73,$B$61:$B$74,0),MATCH($AA$60,$A$61:$H$61,0))*고양시_Modal_split!H$3 * 0.01</f>
        <v>3.0756079824629415E-3</v>
      </c>
      <c r="AG73" s="207">
        <f>INDEX($A$61:$H$74,MATCH($L73,$B$61:$B$74,0),MATCH($AA$60,$A$61:$H$61,0))*고양시_Modal_split!I$3 * 0.01</f>
        <v>0.85501901912469769</v>
      </c>
      <c r="AH73" s="207">
        <f>INDEX($A$61:$H$74,MATCH($L73,$B$61:$B$74,0),MATCH($AA$60,$A$61:$H$61,0))*고양시_Modal_split!J$3 * 0.01</f>
        <v>9.3621506986171941</v>
      </c>
      <c r="AI73" s="207">
        <f>INDEX($A$61:$H$74,MATCH($L73,$B$61:$B$74,0),MATCH($AA$60,$A$61:$H$61,0))*고양시_Modal_split!K$3 * 0.01</f>
        <v>4.6134119736944118E-2</v>
      </c>
      <c r="AJ73" s="207">
        <f>INDEX($A$61:$H$74,MATCH($L73,$B$61:$B$74,0),MATCH($AA$60,$A$61:$H$61,0))*고양시_Modal_split!L$3 * 0.01</f>
        <v>0.92883361070380832</v>
      </c>
      <c r="AK73" s="207">
        <f>INDEX($A$61:$H$74,MATCH($L73,$B$61:$B$74,0),MATCH($AA$60,$A$61:$H$61,0))*고양시_Modal_split!M$3 * 0.01</f>
        <v>7.0738983596647639E-2</v>
      </c>
      <c r="AL73" s="207">
        <f>INDEX($A$61:$H$74,MATCH($L73,$B$61:$B$74,0),MATCH($AA$60,$A$61:$H$61,0))*고양시_Modal_split!N$3 * 0.01</f>
        <v>3.0756079824629416E-2</v>
      </c>
      <c r="AM73" s="207">
        <f>INDEX($A$61:$H$74,MATCH($L73,$B$61:$B$74,0),MATCH($AA$60,$A$61:$H$61,0))*고양시_Modal_split!O$3 * 0.01</f>
        <v>5.536094368433294E-2</v>
      </c>
      <c r="AN73" s="207">
        <f>INDEX($A$61:$H$74,MATCH($L73,$B$61:$B$74,0),MATCH($AA$60,$A$61:$H$61,0))*고양시_Modal_split!P$3 * 0.01</f>
        <v>30.756079824629413</v>
      </c>
      <c r="AO73" s="303">
        <f>INDEX($A$61:$H$74,MATCH($L73,$B$61:$B$74,0),MATCH($AO$60,$A$61:$H$61,0))*고양시_Modal_split!C$3 * 0.01</f>
        <v>3.8171674749790481E-3</v>
      </c>
      <c r="AP73" s="303">
        <f>INDEX($A$61:$H$74,MATCH($L73,$B$61:$B$74,0),MATCH($AO$60,$A$61:$H$61,0))*고양시_Modal_split!D$3 * 0.01</f>
        <v>0.64114780838665952</v>
      </c>
      <c r="AQ73" s="303">
        <f>INDEX($A$61:$H$74,MATCH($L73,$B$61:$B$74,0),MATCH($AO$60,$A$61:$H$61,0))*고양시_Modal_split!E$3 * 0.01</f>
        <v>7.7570296187967083E-2</v>
      </c>
      <c r="AR73" s="303">
        <f>INDEX($A$61:$H$74,MATCH($L73,$B$61:$B$74,0),MATCH($AO$60,$A$61:$H$61,0))*고양시_Modal_split!F$3 * 0.01</f>
        <v>0.12501223480556384</v>
      </c>
      <c r="AS73" s="303">
        <f>INDEX($A$61:$H$74,MATCH($L73,$B$61:$B$74,0),MATCH($AO$60,$A$61:$H$61,0))*고양시_Modal_split!G$3 * 0.01</f>
        <v>1.2542121703502588E-2</v>
      </c>
      <c r="AT73" s="303">
        <f>INDEX($A$61:$H$74,MATCH($L73,$B$61:$B$74,0),MATCH($AO$60,$A$61:$H$61,0))*고양시_Modal_split!H$3 * 0.01</f>
        <v>1.3632740982068029E-4</v>
      </c>
      <c r="AU73" s="303">
        <f>INDEX($A$61:$H$74,MATCH($L73,$B$61:$B$74,0),MATCH($AO$60,$A$61:$H$61,0))*고양시_Modal_split!I$3 * 0.01</f>
        <v>3.7899019930149123E-2</v>
      </c>
      <c r="AV73" s="303">
        <f>INDEX($A$61:$H$74,MATCH($L73,$B$61:$B$74,0),MATCH($AO$60,$A$61:$H$61,0))*고양시_Modal_split!J$3 * 0.01</f>
        <v>0.41498063549415087</v>
      </c>
      <c r="AW73" s="303">
        <f>INDEX($A$61:$H$74,MATCH($L73,$B$61:$B$74,0),MATCH($AO$60,$A$61:$H$61,0))*고양시_Modal_split!K$3 * 0.01</f>
        <v>2.0449111473102044E-3</v>
      </c>
      <c r="AX73" s="303">
        <f>INDEX($A$61:$H$74,MATCH($L73,$B$61:$B$74,0),MATCH($AO$60,$A$61:$H$61,0))*고양시_Modal_split!L$3 * 0.01</f>
        <v>4.1170877765845451E-2</v>
      </c>
      <c r="AY73" s="303">
        <f>INDEX($A$61:$H$74,MATCH($L73,$B$61:$B$74,0),MATCH($AO$60,$A$61:$H$61,0))*고양시_Modal_split!M$3 * 0.01</f>
        <v>3.1355304258756469E-3</v>
      </c>
      <c r="AZ73" s="303">
        <f>INDEX($A$61:$H$74,MATCH($L73,$B$61:$B$74,0),MATCH($AO$60,$A$61:$H$61,0))*고양시_Modal_split!N$3 * 0.01</f>
        <v>1.3632740982068032E-3</v>
      </c>
      <c r="BA73" s="207">
        <f>INDEX($A$61:$H$74,MATCH($L73,$B$61:$B$74,0),MATCH($AO$60,$A$61:$H$61,0))*고양시_Modal_split!O$3 * 0.01</f>
        <v>2.4538933767722453E-3</v>
      </c>
      <c r="BB73" s="207">
        <f>INDEX($A$61:$H$74,MATCH($L73,$B$61:$B$74,0),MATCH($AO$60,$A$61:$H$61,0))*고양시_Modal_split!P$3 * 0.01</f>
        <v>1.363274098206803</v>
      </c>
      <c r="BC73" s="207">
        <f>INDEX($A$61:$H$74,MATCH($L73,$B$61:$B$74,0),MATCH($BC$60,$A$61:$H$61,0))*고양시_Modal_split!C$3 * 0.01</f>
        <v>1.0351640610112621E-5</v>
      </c>
      <c r="BD73" s="207">
        <f>INDEX($A$61:$H$74,MATCH($L73,$B$61:$B$74,0),MATCH($BC$60,$A$61:$H$61,0))*고양시_Modal_split!D$3 * 0.01</f>
        <v>1.7387059210485596E-3</v>
      </c>
      <c r="BE73" s="207">
        <f>INDEX($A$61:$H$74,MATCH($L73,$B$61:$B$74,0),MATCH($BC$60,$A$61:$H$61,0))*고양시_Modal_split!E$3 * 0.01</f>
        <v>2.1036012525550292E-4</v>
      </c>
      <c r="BF73" s="207">
        <f>INDEX($A$61:$H$74,MATCH($L73,$B$61:$B$74,0),MATCH($BC$60,$A$61:$H$61,0))*고양시_Modal_split!F$3 * 0.01</f>
        <v>3.3901622998118837E-4</v>
      </c>
      <c r="BG73" s="207">
        <f>INDEX($A$61:$H$74,MATCH($L73,$B$61:$B$74,0),MATCH($BC$60,$A$61:$H$61,0))*고양시_Modal_split!G$3 * 0.01</f>
        <v>3.4012533433227188E-5</v>
      </c>
      <c r="BH73" s="207">
        <f>INDEX($A$61:$H$74,MATCH($L73,$B$61:$B$74,0),MATCH($BC$60,$A$61:$H$61,0))*고양시_Modal_split!H$3 * 0.01</f>
        <v>3.6970145036116511E-7</v>
      </c>
      <c r="BI73" s="207">
        <f>INDEX($A$61:$H$74,MATCH($L73,$B$61:$B$74,0),MATCH($BC$60,$A$61:$H$61,0))*고양시_Modal_split!I$3 * 0.01</f>
        <v>1.0277700320040389E-4</v>
      </c>
      <c r="BJ73" s="207">
        <f>INDEX($A$61:$H$74,MATCH($L73,$B$61:$B$74,0),MATCH($BC$60,$A$61:$H$61,0))*고양시_Modal_split!J$3 * 0.01</f>
        <v>1.1253712148993867E-3</v>
      </c>
      <c r="BK73" s="207">
        <f>INDEX($A$61:$H$74,MATCH($L73,$B$61:$B$74,0),MATCH($BC$60,$A$61:$H$61,0))*고양시_Modal_split!K$3 * 0.01</f>
        <v>5.5455217554174762E-6</v>
      </c>
      <c r="BL73" s="207">
        <f>INDEX($A$61:$H$74,MATCH($L73,$B$61:$B$74,0),MATCH($BC$60,$A$61:$H$61,0))*고양시_Modal_split!L$3 * 0.01</f>
        <v>1.1164983800907186E-4</v>
      </c>
      <c r="BM73" s="207">
        <f>INDEX($A$61:$H$74,MATCH($L73,$B$61:$B$74,0),MATCH($BC$60,$A$61:$H$61,0))*고양시_Modal_split!M$3 * 0.01</f>
        <v>8.5031333583067971E-6</v>
      </c>
      <c r="BN73" s="207">
        <f>INDEX($A$61:$H$74,MATCH($L73,$B$61:$B$74,0),MATCH($BC$60,$A$61:$H$61,0))*고양시_Modal_split!N$3 * 0.01</f>
        <v>3.6970145036116511E-6</v>
      </c>
      <c r="BO73" s="207">
        <f>INDEX($A$61:$H$74,MATCH($L73,$B$61:$B$74,0),MATCH($BC$60,$A$61:$H$61,0))*고양시_Modal_split!O$3 * 0.01</f>
        <v>6.6546261065009711E-6</v>
      </c>
      <c r="BP73" s="207">
        <f>INDEX($A$61:$H$74,MATCH($L73,$B$61:$B$74,0),MATCH($BC$60,$A$61:$H$61,0))*고양시_Modal_split!P$3 * 0.01</f>
        <v>3.6970145036116508E-3</v>
      </c>
      <c r="BQ73" s="207">
        <f>INDEX($A$61:$H$74,MATCH($L73,$B$61:$B$74,0),MATCH($BQ$60,$A$61:$H$61,0))*고양시_Modal_split!C$3 * 0.01</f>
        <v>2.9329648395319329E-5</v>
      </c>
      <c r="BR73" s="207">
        <f>INDEX($A$61:$H$74,MATCH($L73,$B$61:$B$74,0),MATCH($BQ$60,$A$61:$H$61,0))*고양시_Modal_split!D$3 * 0.01</f>
        <v>4.9263334429709574E-3</v>
      </c>
      <c r="BS73" s="207">
        <f>INDEX($A$61:$H$74,MATCH($L73,$B$61:$B$74,0),MATCH($BQ$60,$A$61:$H$61,0))*고양시_Modal_split!E$3 * 0.01</f>
        <v>5.9602035489059635E-4</v>
      </c>
      <c r="BT73" s="207">
        <f>INDEX($A$61:$H$74,MATCH($L73,$B$61:$B$74,0),MATCH($BQ$60,$A$61:$H$61,0))*고양시_Modal_split!F$3 * 0.01</f>
        <v>9.6054598494670811E-4</v>
      </c>
      <c r="BU73" s="207">
        <f>INDEX($A$61:$H$74,MATCH($L73,$B$61:$B$74,0),MATCH($BQ$60,$A$61:$H$61,0))*고양시_Modal_split!G$3 * 0.01</f>
        <v>9.6368844727477782E-5</v>
      </c>
      <c r="BV73" s="207">
        <f>INDEX($A$61:$H$74,MATCH($L73,$B$61:$B$74,0),MATCH($BQ$60,$A$61:$H$61,0))*고양시_Modal_split!H$3 * 0.01</f>
        <v>1.0474874426899762E-6</v>
      </c>
      <c r="BW73" s="207">
        <f>INDEX($A$61:$H$74,MATCH($L73,$B$61:$B$74,0),MATCH($BQ$60,$A$61:$H$61,0))*고양시_Modal_split!I$3 * 0.01</f>
        <v>2.9120150906781334E-4</v>
      </c>
      <c r="BX73" s="207">
        <f>INDEX($A$61:$H$74,MATCH($L73,$B$61:$B$74,0),MATCH($BQ$60,$A$61:$H$61,0))*고양시_Modal_split!J$3 * 0.01</f>
        <v>3.1885517755482875E-3</v>
      </c>
      <c r="BY73" s="207">
        <f>INDEX($A$61:$H$74,MATCH($L73,$B$61:$B$74,0),MATCH($BQ$60,$A$61:$H$61,0))*고양시_Modal_split!K$3 * 0.01</f>
        <v>1.5712311640349639E-5</v>
      </c>
      <c r="BZ73" s="207">
        <f>INDEX($A$61:$H$74,MATCH($L73,$B$61:$B$74,0),MATCH($BQ$60,$A$61:$H$61,0))*고양시_Modal_split!L$3 * 0.01</f>
        <v>3.1634120769237278E-4</v>
      </c>
      <c r="CA73" s="207">
        <f>INDEX($A$61:$H$74,MATCH($L73,$B$61:$B$74,0),MATCH($BQ$60,$A$61:$H$61,0))*고양시_Modal_split!M$3 * 0.01</f>
        <v>2.4092211181869446E-5</v>
      </c>
      <c r="CB73" s="207">
        <f>INDEX($A$61:$H$74,MATCH($L73,$B$61:$B$74,0),MATCH($BQ$60,$A$61:$H$61,0))*고양시_Modal_split!N$3 * 0.01</f>
        <v>1.0474874426899763E-5</v>
      </c>
      <c r="CC73" s="207">
        <f>INDEX($A$61:$H$74,MATCH($L73,$B$61:$B$74,0),MATCH($BQ$60,$A$61:$H$61,0))*고양시_Modal_split!O$3 * 0.01</f>
        <v>1.8854773968419569E-5</v>
      </c>
      <c r="CD73" s="207">
        <f>INDEX($A$61:$H$74,MATCH($L73,$B$61:$B$74,0),MATCH($BQ$60,$A$61:$H$61,0))*고양시_Modal_split!P$3 * 0.01</f>
        <v>1.0474874426899761E-2</v>
      </c>
      <c r="CE73" s="304">
        <f t="shared" si="31"/>
        <v>0.10104840245233239</v>
      </c>
      <c r="CF73" s="304">
        <f t="shared" si="13"/>
        <v>16.972522740475689</v>
      </c>
      <c r="CG73" s="304">
        <f t="shared" si="14"/>
        <v>2.0534478926920401</v>
      </c>
      <c r="CH73" s="304">
        <f t="shared" si="15"/>
        <v>3.309335180313886</v>
      </c>
      <c r="CI73" s="304">
        <f t="shared" si="16"/>
        <v>0.33201617948623496</v>
      </c>
      <c r="CJ73" s="304">
        <f t="shared" si="17"/>
        <v>3.6088715161547288E-3</v>
      </c>
      <c r="CK73" s="304">
        <f t="shared" si="18"/>
        <v>1.0032662814910147</v>
      </c>
      <c r="CL73" s="304">
        <f t="shared" si="19"/>
        <v>10.985404895174995</v>
      </c>
      <c r="CM73" s="304">
        <f t="shared" si="20"/>
        <v>5.4133072742320924E-2</v>
      </c>
      <c r="CN73" s="304">
        <f t="shared" si="21"/>
        <v>1.0898791978787281</v>
      </c>
      <c r="CO73" s="304">
        <f t="shared" si="22"/>
        <v>8.3004044871558741E-2</v>
      </c>
      <c r="CP73" s="304">
        <f t="shared" si="23"/>
        <v>3.608871516154729E-2</v>
      </c>
      <c r="CQ73" s="304">
        <f t="shared" si="24"/>
        <v>6.4959687290785106E-2</v>
      </c>
      <c r="CR73" s="304">
        <f t="shared" si="25"/>
        <v>36.088715161547285</v>
      </c>
      <c r="CS73" s="305">
        <f t="shared" si="32"/>
        <v>0</v>
      </c>
      <c r="CV73" s="267" t="s">
        <v>171</v>
      </c>
      <c r="CW73" s="267" t="s">
        <v>171</v>
      </c>
      <c r="CX73" s="267">
        <f>INDEX($M$60:$Z$74,MATCH($CW73,$L$60:$L$74,0),MATCH(CX$61,$M$61:$Z$61,0))/INDEX(고양시_재차인원!$D$4:$H$35,MATCH("고양시",고양시_재차인원!$B$4:$B$35,0),MATCH($CX$60,고양시_재차인원!$D$4:$H$4,0))</f>
        <v>1.6608263850016043</v>
      </c>
      <c r="CY73" s="267">
        <f>INDEX($M$60:$Z$74,MATCH($CW73,$L$60:$L$74,0),MATCH(CY$61,$M$61:$Z$61,0))/INDEX(고양시_재차인원!$K$4:$O$20,MATCH("경기도",고양시_재차인원!$K$4:$K$20,0),MATCH($CY$61,고양시_재차인원!$K$4:$O$4,0))</f>
        <v>1.373806651538923E-5</v>
      </c>
      <c r="CZ73" s="267">
        <f>INDEX($M$60:$Z$74,MATCH($CW73,$L$60:$L$74,0),MATCH(CZ$61,$M$61:$Z$61,0))/INDEX(고양시_재차인원!$K$4:$O$20,MATCH("경기도",고양시_재차인원!$K$4:$K$20,0),MATCH($CZ$61,고양시_재차인원!$K$4:$O$4,0))</f>
        <v>3.8191824912782051E-3</v>
      </c>
      <c r="DA73" s="267">
        <f>INDEX($M$60:$Z$74,MATCH($CW73,$L$60:$L$74,0),MATCH(DA$61,$M$61:$Z$61,0))/INDEX(고양시_재차인원!$D$4:$H$35,MATCH("고양시",고양시_재차인원!$B$4:$B$35,0),MATCH($CX$60,고양시_재차인원!$D$4:$H$4,0))</f>
        <v>0.1066488556815829</v>
      </c>
      <c r="DB73" s="267">
        <f>INDEX($AA$60:$AN$74,MATCH($CW73,$L$60:$L$74,0),MATCH(DB$61,$AA$61:$AN$61,0))/INDEX(고양시_재차인원!$D$4:$H$35,MATCH("고양시",고양시_재차인원!$B$4:$B$35,0),MATCH($DB$60,고양시_재차인원!$D$4:$H$4,0))</f>
        <v>10.258570454981003</v>
      </c>
      <c r="DC73" s="267">
        <f>INDEX($AA$60:$AN$74,MATCH($CW73,$L$60:$L$74,0),MATCH(DC$61,$AA$61:$AN$61,0))/INDEX(고양시_재차인원!$K$4:$O$20,MATCH("경기도",고양시_재차인원!$K$4:$K$20,0),MATCH($DC$61,고양시_재차인원!$K$4:$O$4,0))</f>
        <v>1.0682903725123103E-4</v>
      </c>
      <c r="DD73" s="267">
        <f>INDEX($AA$60:$AN$74,MATCH($CW73,$L$60:$L$74,0),MATCH(DD$61,$AA$61:$AN$61,0))/INDEX(고양시_재차인원!$K$4:$O$20,MATCH("경기도",고양시_재차인원!$K$4:$K$20,0),MATCH($DD$61,고양시_재차인원!$K$4:$O$4,0))</f>
        <v>2.9698472355842227E-2</v>
      </c>
      <c r="DE73" s="267">
        <f>INDEX($AA$60:$AN$74,MATCH($CW73,$L$60:$L$74,0),MATCH(DE$61,$AA$61:$AN$61,0))/INDEX(고양시_재차인원!$D$4:$H$35,MATCH("고양시",고양시_재차인원!$B$4:$B$35,0),MATCH($DB$60,고양시_재차인원!$D$4:$H$4,0))</f>
        <v>0.65874724163390663</v>
      </c>
      <c r="DF73" s="267">
        <f>INDEX($AO$60:$BB$74,MATCH($CW73,$L$60:$L$74,0),MATCH(DF$61,$AO$61:$BB$61,0))/INDEX(고양시_재차인원!$D$4:$H$35,MATCH("고양시",고양시_재차인원!$B$4:$B$35,0),MATCH($DF$60,고양시_재차인원!$D$4:$H$4,0))</f>
        <v>0.49319062183589191</v>
      </c>
      <c r="DG73" s="267">
        <f>INDEX($AO$60:$BB$74,MATCH($CW73,$L$60:$L$74,0),MATCH(DG$61,$AO$61:$BB$61,0))/INDEX(고양시_재차인원!$K$4:$O$20,MATCH("경기도",고양시_재차인원!$K$4:$K$20,0),MATCH($DG$61,고양시_재차인원!$K$4:$O$4,0))</f>
        <v>4.7352347975227615E-6</v>
      </c>
      <c r="DH73" s="267">
        <f>INDEX($AO$60:$BB$74,MATCH($CW73,$L$60:$L$74,0),MATCH(DH$61,$AO$61:$BB$61,0))/INDEX(고양시_재차인원!$K$4:$O$20,MATCH("경기도",고양시_재차인원!$K$4:$K$20,0),MATCH($DH$61,고양시_재차인원!$K$4:$O$4,0))</f>
        <v>1.3163952737113276E-3</v>
      </c>
      <c r="DI73" s="267">
        <f>INDEX($AO$60:$BB$74,MATCH($CW73,$L$60:$L$74,0),MATCH(DI$61,$AO$61:$BB$61,0))/INDEX(고양시_재차인원!$D$4:$H$35,MATCH("고양시",고양시_재차인원!$B$4:$B$35,0),MATCH($DF$60,고양시_재차인원!$D$4:$H$4,0))</f>
        <v>3.1669905973727271E-2</v>
      </c>
      <c r="DJ73" s="267">
        <f>INDEX($BC$60:$BP$74,MATCH($CW73,$L$60:$L$74,0),MATCH(DJ$61,$BC$61:$BP$61,0))/INDEX(고양시_재차인원!$D$4:$H$35,MATCH("고양시",고양시_재차인원!$B$4:$B$35,0),MATCH($DJ$60,고양시_재차인원!$D$4:$H$4,0))</f>
        <v>1.2784602360651173E-3</v>
      </c>
      <c r="DK73" s="267">
        <f>INDEX($BC$60:$BP$74,MATCH($CW73,$L$60:$L$74,0),MATCH(DK$61,$BC$61:$BP$61,0))/INDEX(고양시_재차인원!$K$4:$O$20,MATCH("경기도",고양시_재차인원!$K$4:$K$20,0),MATCH($DK$61,고양시_재차인원!$K$4:$O$4,0))</f>
        <v>1.2841314705146408E-8</v>
      </c>
      <c r="DL73" s="267">
        <f>INDEX($BC$60:$BP$74,MATCH($CW73,$L$60:$L$74,0),MATCH(DL$61,$BC$61:$BP$61,0))/INDEX(고양시_재차인원!$K$4:$O$20,MATCH("경기도",고양시_재차인원!$K$4:$K$20,0),MATCH($DL$61,고양시_재차인원!$K$4:$O$4,0))</f>
        <v>3.5698854880307013E-6</v>
      </c>
      <c r="DM73" s="267">
        <f>INDEX($BC$60:$BP$74,MATCH($CW73,$L$60:$L$74,0),MATCH(DM$61,$BC$61:$BP$61,0))/INDEX(고양시_재차인원!$D$4:$H$35,MATCH("고양시",고양시_재차인원!$B$4:$B$35,0),MATCH($DJ$60,고양시_재차인원!$D$4:$H$4,0))</f>
        <v>8.2095469124317537E-5</v>
      </c>
      <c r="DN73" s="267">
        <f>INDEX($BQ$60:$CD$74,MATCH($CW73,$L$60:$L$74,0),MATCH(DN$61,$BQ$61:$CD$61,0))/INDEX(고양시_재차인원!$D$4:$H$35,MATCH("고양시",고양시_재차인원!$B$4:$B$35,0),MATCH($DN$60,고양시_재차인원!$D$4:$H$4,0))</f>
        <v>3.9097884468023468E-3</v>
      </c>
      <c r="DO73" s="267">
        <f>INDEX($BQ$60:$CD$74,MATCH($CW73,$L$60:$L$74,0),MATCH(DO$61,$BQ$61:$CD$61,0))/INDEX(고양시_재차인원!$K$4:$O$20,MATCH("경기도",고양시_재차인원!$K$4:$K$20,0),MATCH($DO$61,고양시_재차인원!$K$4:$O$4,0))</f>
        <v>3.6383724997915119E-8</v>
      </c>
      <c r="DP73" s="267">
        <f>INDEX($BQ$60:$CD$74,MATCH($CW73,$L$60:$L$74,0),MATCH(DP$61,$BQ$61:$CD$61,0))/INDEX(고양시_재차인원!$K$4:$O$20,MATCH("경기도",고양시_재차인원!$K$4:$K$20,0),MATCH($DP$61,고양시_재차인원!$K$4:$O$4,0))</f>
        <v>1.0114675549420401E-5</v>
      </c>
      <c r="DQ73" s="267">
        <f>INDEX($BQ$60:$CD$74,MATCH($CW73,$L$60:$L$74,0),MATCH(DQ$61,$BQ$61:$CD$61,0))/INDEX(고양시_재차인원!$D$4:$H$35,MATCH("고양시",고양시_재차인원!$B$4:$B$35,0),MATCH($DN$60,고양시_재차인원!$D$4:$H$4,0))</f>
        <v>2.5106445054950223E-4</v>
      </c>
      <c r="DR73" s="270">
        <f t="shared" si="33"/>
        <v>12.417775710501367</v>
      </c>
      <c r="DS73" s="270">
        <f t="shared" si="26"/>
        <v>1.253515636038461E-4</v>
      </c>
      <c r="DT73" s="270">
        <f t="shared" si="27"/>
        <v>3.4847734681869212E-2</v>
      </c>
      <c r="DU73" s="270">
        <f t="shared" si="28"/>
        <v>0.79739916320889059</v>
      </c>
      <c r="DW73" s="278" t="s">
        <v>171</v>
      </c>
      <c r="DX73" s="278" t="s">
        <v>171</v>
      </c>
      <c r="DY73" s="281">
        <f t="shared" si="41"/>
        <v>13.215174873710257</v>
      </c>
      <c r="DZ73" s="281">
        <f t="shared" si="42"/>
        <v>3.4973086245473059E-2</v>
      </c>
      <c r="EB73" s="278" t="s">
        <v>26</v>
      </c>
      <c r="EC73" s="278" t="s">
        <v>26</v>
      </c>
      <c r="ED73" s="281">
        <f t="shared" si="45"/>
        <v>5685.6600904325933</v>
      </c>
      <c r="EE73" s="281">
        <f t="shared" si="44"/>
        <v>15.046723377131974</v>
      </c>
      <c r="EK73" s="420" t="s">
        <v>47</v>
      </c>
      <c r="EL73" s="420" t="s">
        <v>47</v>
      </c>
      <c r="EM73" s="420" t="s">
        <v>572</v>
      </c>
      <c r="EN73" s="420">
        <v>2252.9902000000002</v>
      </c>
      <c r="EO73" s="420">
        <v>0.23602173772802626</v>
      </c>
      <c r="EP73" s="421">
        <v>849012</v>
      </c>
      <c r="EQ73" s="422">
        <f t="shared" si="37"/>
        <v>56.859217330182943</v>
      </c>
      <c r="ER73" s="422">
        <f t="shared" si="38"/>
        <v>0.15047415796929875</v>
      </c>
      <c r="ES73">
        <v>0</v>
      </c>
      <c r="EU73" s="306" t="s">
        <v>47</v>
      </c>
      <c r="EV73" s="306" t="s">
        <v>47</v>
      </c>
      <c r="EW73" s="306" t="s">
        <v>572</v>
      </c>
      <c r="EX73" s="306">
        <v>2252.9902000000002</v>
      </c>
      <c r="EY73" s="306">
        <v>0.23602173772802626</v>
      </c>
      <c r="EZ73" s="307">
        <v>849012</v>
      </c>
      <c r="FA73" s="308">
        <f t="shared" si="39"/>
        <v>56.859217330182943</v>
      </c>
      <c r="FB73" s="308">
        <f t="shared" si="30"/>
        <v>0.15047415796929875</v>
      </c>
      <c r="FD73" s="101"/>
      <c r="FE73" s="101"/>
      <c r="FF73" s="101"/>
      <c r="FG73" s="101"/>
      <c r="FH73" s="101"/>
      <c r="FI73" s="374"/>
      <c r="FJ73" s="404"/>
      <c r="FK73" s="404"/>
    </row>
    <row r="74" spans="1:167">
      <c r="A74" s="205" t="s">
        <v>26</v>
      </c>
      <c r="B74" s="205" t="s">
        <v>26</v>
      </c>
      <c r="C74" s="201">
        <f>$L41*KTDB_TripDistribution_2040!L$12</f>
        <v>1701.6696677156967</v>
      </c>
      <c r="D74" s="201">
        <f>$L41*KTDB_TripDistribution_2040!M$12</f>
        <v>13232.41026079278</v>
      </c>
      <c r="E74" s="201">
        <f>$L41*KTDB_TripDistribution_2040!N$12</f>
        <v>586.53125717728187</v>
      </c>
      <c r="F74" s="201">
        <f>$L41*KTDB_TripDistribution_2040!O$12</f>
        <v>1.5905932398027902</v>
      </c>
      <c r="G74" s="201">
        <f>$L41*KTDB_TripDistribution_2040!P$12</f>
        <v>4.5066808461079413</v>
      </c>
      <c r="H74" s="201">
        <f>$L41*KTDB_TripDistribution_2040!Q$12</f>
        <v>15526.708459771668</v>
      </c>
      <c r="I74" t="b">
        <f>H74=$K$41</f>
        <v>1</v>
      </c>
      <c r="J74" s="230">
        <f>CR74</f>
        <v>15526.708459771669</v>
      </c>
      <c r="K74" s="206" t="s">
        <v>26</v>
      </c>
      <c r="L74" s="206" t="s">
        <v>26</v>
      </c>
      <c r="M74" s="206">
        <f>INDEX($A$61:$H$74,MATCH($L74,$B$61:$B$74,0),MATCH($M$60,$A$61:$H$61,0))*고양시_Modal_split!C$3 * 0.01</f>
        <v>4.7646750696039506</v>
      </c>
      <c r="N74" s="206">
        <f>INDEX($A$61:$H$74,MATCH($L74,$B$61:$B$74,0),MATCH($M$60,$A$61:$H$61,0))*고양시_Modal_split!D$3 * 0.01</f>
        <v>800.2952447266922</v>
      </c>
      <c r="O74" s="206">
        <f>INDEX($A$61:$H$74,MATCH($L74,$B$61:$B$74,0),MATCH($M$60,$A$61:$H$61,0))*고양시_Modal_split!E$3 * 0.01</f>
        <v>96.825004093023153</v>
      </c>
      <c r="P74" s="206">
        <f>INDEX($A$61:$H$74,MATCH($L74,$B$61:$B$74,0),MATCH($M$60,$A$61:$H$61,0))*고양시_Modal_split!F$3 * 0.01</f>
        <v>156.04310852952938</v>
      </c>
      <c r="Q74" s="206">
        <f>INDEX($A$61:$H$74,MATCH($L74,$B$61:$B$74,0),MATCH($M$60,$A$61:$H$61,0))*고양시_Modal_split!G$3 * 0.01</f>
        <v>15.65536094298441</v>
      </c>
      <c r="R74" s="206">
        <f>INDEX($A$61:$H$74,MATCH($L74,$B$61:$B$74,0),MATCH($M$60,$A$61:$H$61,0))*고양시_Modal_split!H$3 * 0.01</f>
        <v>0.1701669667715697</v>
      </c>
      <c r="S74" s="206">
        <f>INDEX($A$61:$H$74,MATCH($L74,$B$61:$B$74,0),MATCH($M$60,$A$61:$H$61,0))*고양시_Modal_split!I$3 * 0.01</f>
        <v>47.306416762496369</v>
      </c>
      <c r="T74" s="206">
        <f>INDEX($A$61:$H$74,MATCH($L74,$B$61:$B$74,0),MATCH($M$60,$A$61:$H$61,0))*고양시_Modal_split!J$3 * 0.01</f>
        <v>517.98824685265811</v>
      </c>
      <c r="U74" s="206">
        <f>INDEX($A$61:$H$74,MATCH($L74,$B$61:$B$74,0),MATCH($M$60,$A$61:$H$61,0))*고양시_Modal_split!K$3 * 0.01</f>
        <v>2.5525045015735448</v>
      </c>
      <c r="V74" s="206">
        <f>INDEX($A$61:$H$74,MATCH($L74,$B$61:$B$74,0),MATCH($M$60,$A$61:$H$61,0))*고양시_Modal_split!L$3 * 0.01</f>
        <v>51.390423965014044</v>
      </c>
      <c r="W74" s="206">
        <f>INDEX($A$61:$H$74,MATCH($L74,$B$61:$B$74,0),MATCH($M$60,$A$61:$H$61,0))*고양시_Modal_split!M$3 * 0.01</f>
        <v>3.9138402357461026</v>
      </c>
      <c r="X74" s="206">
        <f>INDEX($A$61:$H$74,MATCH($L74,$B$61:$B$74,0),MATCH($M$60,$A$61:$H$61,0))*고양시_Modal_split!N$3 * 0.01</f>
        <v>1.7016696677156968</v>
      </c>
      <c r="Y74" s="206">
        <f>INDEX($A$61:$H$74,MATCH($L74,$B$61:$B$74,0),MATCH($M$60,$A$61:$H$61,0))*고양시_Modal_split!O$3 * 0.01</f>
        <v>3.0630054018882538</v>
      </c>
      <c r="Z74" s="209">
        <f>INDEX($A$61:$H$74,MATCH($L74,$B$61:$B$74,0),MATCH($M$60,$A$61:$H$61,0))*고양시_Modal_split!P$3 * 0.01</f>
        <v>1701.669667715697</v>
      </c>
      <c r="AA74" s="207">
        <f>INDEX($A$61:$H$74,MATCH($L74,$B$61:$B$74,0),MATCH($AA$60,$A$61:$H$61,0))*고양시_Modal_split!C$3 * 0.01</f>
        <v>37.05074873021978</v>
      </c>
      <c r="AB74" s="207">
        <f>INDEX($A$61:$H$74,MATCH($L74,$B$61:$B$74,0),MATCH($AA$60,$A$61:$H$61,0))*고양시_Modal_split!D$3 * 0.01</f>
        <v>6223.2025456508445</v>
      </c>
      <c r="AC74" s="207">
        <f>INDEX($A$61:$H$74,MATCH($L74,$B$61:$B$74,0),MATCH($AA$60,$A$61:$H$61,0))*고양시_Modal_split!E$3 * 0.01</f>
        <v>752.92414383910921</v>
      </c>
      <c r="AD74" s="207">
        <f>INDEX($A$61:$H$74,MATCH($L74,$B$61:$B$74,0),MATCH($AA$60,$A$61:$H$61,0))*고양시_Modal_split!F$3 * 0.01</f>
        <v>1213.4120209146979</v>
      </c>
      <c r="AE74" s="207">
        <f>INDEX($A$61:$H$74,MATCH($L74,$B$61:$B$74,0),MATCH($AA$60,$A$61:$H$61,0))*고양시_Modal_split!G$3 * 0.01</f>
        <v>121.73817439929357</v>
      </c>
      <c r="AF74" s="207">
        <f>INDEX($A$61:$H$74,MATCH($L74,$B$61:$B$74,0),MATCH($AA$60,$A$61:$H$61,0))*고양시_Modal_split!H$3 * 0.01</f>
        <v>1.3232410260792782</v>
      </c>
      <c r="AG74" s="207">
        <f>INDEX($A$61:$H$74,MATCH($L74,$B$61:$B$74,0),MATCH($AA$60,$A$61:$H$61,0))*고양시_Modal_split!I$3 * 0.01</f>
        <v>367.86100525003923</v>
      </c>
      <c r="AH74" s="207">
        <f>INDEX($A$61:$H$74,MATCH($L74,$B$61:$B$74,0),MATCH($AA$60,$A$61:$H$61,0))*고양시_Modal_split!J$3 * 0.01</f>
        <v>4027.9456833853224</v>
      </c>
      <c r="AI74" s="207">
        <f>INDEX($A$61:$H$74,MATCH($L74,$B$61:$B$74,0),MATCH($AA$60,$A$61:$H$61,0))*고양시_Modal_split!K$3 * 0.01</f>
        <v>19.848615391189171</v>
      </c>
      <c r="AJ74" s="207">
        <f>INDEX($A$61:$H$74,MATCH($L74,$B$61:$B$74,0),MATCH($AA$60,$A$61:$H$61,0))*고양시_Modal_split!L$3 * 0.01</f>
        <v>399.61878987594196</v>
      </c>
      <c r="AK74" s="207">
        <f>INDEX($A$61:$H$74,MATCH($L74,$B$61:$B$74,0),MATCH($AA$60,$A$61:$H$61,0))*고양시_Modal_split!M$3 * 0.01</f>
        <v>30.434543599823392</v>
      </c>
      <c r="AL74" s="207">
        <f>INDEX($A$61:$H$74,MATCH($L74,$B$61:$B$74,0),MATCH($AA$60,$A$61:$H$61,0))*고양시_Modal_split!N$3 * 0.01</f>
        <v>13.232410260792781</v>
      </c>
      <c r="AM74" s="207">
        <f>INDEX($A$61:$H$74,MATCH($L74,$B$61:$B$74,0),MATCH($AA$60,$A$61:$H$61,0))*고양시_Modal_split!O$3 * 0.01</f>
        <v>23.818338469427005</v>
      </c>
      <c r="AN74" s="207">
        <f>INDEX($A$61:$H$74,MATCH($L74,$B$61:$B$74,0),MATCH($AA$60,$A$61:$H$61,0))*고양시_Modal_split!P$3 * 0.01</f>
        <v>13232.41026079278</v>
      </c>
      <c r="AO74" s="303">
        <f>INDEX($A$61:$H$74,MATCH($L74,$B$61:$B$74,0),MATCH($AO$60,$A$61:$H$61,0))*고양시_Modal_split!C$3 * 0.01</f>
        <v>1.6422875200963889</v>
      </c>
      <c r="AP74" s="303">
        <f>INDEX($A$61:$H$74,MATCH($L74,$B$61:$B$74,0),MATCH($AO$60,$A$61:$H$61,0))*고양시_Modal_split!D$3 * 0.01</f>
        <v>275.84565025047567</v>
      </c>
      <c r="AQ74" s="303">
        <f>INDEX($A$61:$H$74,MATCH($L74,$B$61:$B$74,0),MATCH($AO$60,$A$61:$H$61,0))*고양시_Modal_split!E$3 * 0.01</f>
        <v>33.37362853338734</v>
      </c>
      <c r="AR74" s="303">
        <f>INDEX($A$61:$H$74,MATCH($L74,$B$61:$B$74,0),MATCH($AO$60,$A$61:$H$61,0))*고양시_Modal_split!F$3 * 0.01</f>
        <v>53.784916283156747</v>
      </c>
      <c r="AS74" s="303">
        <f>INDEX($A$61:$H$74,MATCH($L74,$B$61:$B$74,0),MATCH($AO$60,$A$61:$H$61,0))*고양시_Modal_split!G$3 * 0.01</f>
        <v>5.3960875660309933</v>
      </c>
      <c r="AT74" s="303">
        <f>INDEX($A$61:$H$74,MATCH($L74,$B$61:$B$74,0),MATCH($AO$60,$A$61:$H$61,0))*고양시_Modal_split!H$3 * 0.01</f>
        <v>5.865312571772819E-2</v>
      </c>
      <c r="AU74" s="303">
        <f>INDEX($A$61:$H$74,MATCH($L74,$B$61:$B$74,0),MATCH($AO$60,$A$61:$H$61,0))*고양시_Modal_split!I$3 * 0.01</f>
        <v>16.305568949528435</v>
      </c>
      <c r="AV74" s="303">
        <f>INDEX($A$61:$H$74,MATCH($L74,$B$61:$B$74,0),MATCH($AO$60,$A$61:$H$61,0))*고양시_Modal_split!J$3 * 0.01</f>
        <v>178.5401146847646</v>
      </c>
      <c r="AW74" s="303">
        <f>INDEX($A$61:$H$74,MATCH($L74,$B$61:$B$74,0),MATCH($AO$60,$A$61:$H$61,0))*고양시_Modal_split!K$3 * 0.01</f>
        <v>0.87979688576592285</v>
      </c>
      <c r="AX74" s="303">
        <f>INDEX($A$61:$H$74,MATCH($L74,$B$61:$B$74,0),MATCH($AO$60,$A$61:$H$61,0))*고양시_Modal_split!L$3 * 0.01</f>
        <v>17.713243966753911</v>
      </c>
      <c r="AY74" s="303">
        <f>INDEX($A$61:$H$74,MATCH($L74,$B$61:$B$74,0),MATCH($AO$60,$A$61:$H$61,0))*고양시_Modal_split!M$3 * 0.01</f>
        <v>1.3490218915077483</v>
      </c>
      <c r="AZ74" s="303">
        <f>INDEX($A$61:$H$74,MATCH($L74,$B$61:$B$74,0),MATCH($AO$60,$A$61:$H$61,0))*고양시_Modal_split!N$3 * 0.01</f>
        <v>0.58653125717728194</v>
      </c>
      <c r="BA74" s="207">
        <f>INDEX($A$61:$H$74,MATCH($L74,$B$61:$B$74,0),MATCH($AO$60,$A$61:$H$61,0))*고양시_Modal_split!O$3 * 0.01</f>
        <v>1.0557562629191073</v>
      </c>
      <c r="BB74" s="207">
        <f>INDEX($A$61:$H$74,MATCH($L74,$B$61:$B$74,0),MATCH($AO$60,$A$61:$H$61,0))*고양시_Modal_split!P$3 * 0.01</f>
        <v>586.53125717728187</v>
      </c>
      <c r="BC74" s="207">
        <f>INDEX($A$61:$H$74,MATCH($L74,$B$61:$B$74,0),MATCH($BC$60,$A$61:$H$61,0))*고양시_Modal_split!C$3 * 0.01</f>
        <v>4.4536610714478123E-3</v>
      </c>
      <c r="BD74" s="207">
        <f>INDEX($A$61:$H$74,MATCH($L74,$B$61:$B$74,0),MATCH($BC$60,$A$61:$H$61,0))*고양시_Modal_split!D$3 * 0.01</f>
        <v>0.74805600067925226</v>
      </c>
      <c r="BE74" s="207">
        <f>INDEX($A$61:$H$74,MATCH($L74,$B$61:$B$74,0),MATCH($BC$60,$A$61:$H$61,0))*고양시_Modal_split!E$3 * 0.01</f>
        <v>9.0504755344778753E-2</v>
      </c>
      <c r="BF74" s="207">
        <f>INDEX($A$61:$H$74,MATCH($L74,$B$61:$B$74,0),MATCH($BC$60,$A$61:$H$61,0))*고양시_Modal_split!F$3 * 0.01</f>
        <v>0.14585740008991585</v>
      </c>
      <c r="BG74" s="207">
        <f>INDEX($A$61:$H$74,MATCH($L74,$B$61:$B$74,0),MATCH($BC$60,$A$61:$H$61,0))*고양시_Modal_split!G$3 * 0.01</f>
        <v>1.4633457806185668E-2</v>
      </c>
      <c r="BH74" s="207">
        <f>INDEX($A$61:$H$74,MATCH($L74,$B$61:$B$74,0),MATCH($BC$60,$A$61:$H$61,0))*고양시_Modal_split!H$3 * 0.01</f>
        <v>1.5905932398027904E-4</v>
      </c>
      <c r="BI74" s="207">
        <f>INDEX($A$61:$H$74,MATCH($L74,$B$61:$B$74,0),MATCH($BC$60,$A$61:$H$61,0))*고양시_Modal_split!I$3 * 0.01</f>
        <v>4.421849206651756E-2</v>
      </c>
      <c r="BJ74" s="207">
        <f>INDEX($A$61:$H$74,MATCH($L74,$B$61:$B$74,0),MATCH($BC$60,$A$61:$H$61,0))*고양시_Modal_split!J$3 * 0.01</f>
        <v>0.48417658219596937</v>
      </c>
      <c r="BK74" s="207">
        <f>INDEX($A$61:$H$74,MATCH($L74,$B$61:$B$74,0),MATCH($BC$60,$A$61:$H$61,0))*고양시_Modal_split!K$3 * 0.01</f>
        <v>2.3858898597041854E-3</v>
      </c>
      <c r="BL74" s="207">
        <f>INDEX($A$61:$H$74,MATCH($L74,$B$61:$B$74,0),MATCH($BC$60,$A$61:$H$61,0))*고양시_Modal_split!L$3 * 0.01</f>
        <v>4.8035915842044259E-2</v>
      </c>
      <c r="BM74" s="207">
        <f>INDEX($A$61:$H$74,MATCH($L74,$B$61:$B$74,0),MATCH($BC$60,$A$61:$H$61,0))*고양시_Modal_split!M$3 * 0.01</f>
        <v>3.6583644515464169E-3</v>
      </c>
      <c r="BN74" s="207">
        <f>INDEX($A$61:$H$74,MATCH($L74,$B$61:$B$74,0),MATCH($BC$60,$A$61:$H$61,0))*고양시_Modal_split!N$3 * 0.01</f>
        <v>1.5905932398027902E-3</v>
      </c>
      <c r="BO74" s="207">
        <f>INDEX($A$61:$H$74,MATCH($L74,$B$61:$B$74,0),MATCH($BC$60,$A$61:$H$61,0))*고양시_Modal_split!O$3 * 0.01</f>
        <v>2.8630678316450228E-3</v>
      </c>
      <c r="BP74" s="207">
        <f>INDEX($A$61:$H$74,MATCH($L74,$B$61:$B$74,0),MATCH($BC$60,$A$61:$H$61,0))*고양시_Modal_split!P$3 * 0.01</f>
        <v>1.5905932398027904</v>
      </c>
      <c r="BQ74" s="207">
        <f>INDEX($A$61:$H$74,MATCH($L74,$B$61:$B$74,0),MATCH($BQ$60,$A$61:$H$61,0))*고양시_Modal_split!C$3 * 0.01</f>
        <v>1.2618706369102235E-2</v>
      </c>
      <c r="BR74" s="207">
        <f>INDEX($A$61:$H$74,MATCH($L74,$B$61:$B$74,0),MATCH($BQ$60,$A$61:$H$61,0))*고양시_Modal_split!D$3 * 0.01</f>
        <v>2.1194920019245651</v>
      </c>
      <c r="BS74" s="207">
        <f>INDEX($A$61:$H$74,MATCH($L74,$B$61:$B$74,0),MATCH($BQ$60,$A$61:$H$61,0))*고양시_Modal_split!E$3 * 0.01</f>
        <v>0.25643014014354182</v>
      </c>
      <c r="BT74" s="207">
        <f>INDEX($A$61:$H$74,MATCH($L74,$B$61:$B$74,0),MATCH($BQ$60,$A$61:$H$61,0))*고양시_Modal_split!F$3 * 0.01</f>
        <v>0.41326263358809817</v>
      </c>
      <c r="BU74" s="207">
        <f>INDEX($A$61:$H$74,MATCH($L74,$B$61:$B$74,0),MATCH($BQ$60,$A$61:$H$61,0))*고양시_Modal_split!G$3 * 0.01</f>
        <v>4.1461463784193055E-2</v>
      </c>
      <c r="BV74" s="207">
        <f>INDEX($A$61:$H$74,MATCH($L74,$B$61:$B$74,0),MATCH($BQ$60,$A$61:$H$61,0))*고양시_Modal_split!H$3 * 0.01</f>
        <v>4.5066808461079411E-4</v>
      </c>
      <c r="BW74" s="207">
        <f>INDEX($A$61:$H$74,MATCH($L74,$B$61:$B$74,0),MATCH($BQ$60,$A$61:$H$61,0))*고양시_Modal_split!I$3 * 0.01</f>
        <v>0.12528572752180075</v>
      </c>
      <c r="BX74" s="207">
        <f>INDEX($A$61:$H$74,MATCH($L74,$B$61:$B$74,0),MATCH($BQ$60,$A$61:$H$61,0))*고양시_Modal_split!J$3 * 0.01</f>
        <v>1.3718336495552574</v>
      </c>
      <c r="BY74" s="207">
        <f>INDEX($A$61:$H$74,MATCH($L74,$B$61:$B$74,0),MATCH($BQ$60,$A$61:$H$61,0))*고양시_Modal_split!K$3 * 0.01</f>
        <v>6.7600212691619121E-3</v>
      </c>
      <c r="BZ74" s="207">
        <f>INDEX($A$61:$H$74,MATCH($L74,$B$61:$B$74,0),MATCH($BQ$60,$A$61:$H$61,0))*고양시_Modal_split!L$3 * 0.01</f>
        <v>0.13610176155245982</v>
      </c>
      <c r="CA74" s="207">
        <f>INDEX($A$61:$H$74,MATCH($L74,$B$61:$B$74,0),MATCH($BQ$60,$A$61:$H$61,0))*고양시_Modal_split!M$3 * 0.01</f>
        <v>1.0365365946048264E-2</v>
      </c>
      <c r="CB74" s="207">
        <f>INDEX($A$61:$H$74,MATCH($L74,$B$61:$B$74,0),MATCH($BQ$60,$A$61:$H$61,0))*고양시_Modal_split!N$3 * 0.01</f>
        <v>4.5066808461079414E-3</v>
      </c>
      <c r="CC74" s="207">
        <f>INDEX($A$61:$H$74,MATCH($L74,$B$61:$B$74,0),MATCH($BQ$60,$A$61:$H$61,0))*고양시_Modal_split!O$3 * 0.01</f>
        <v>8.1120255229942938E-3</v>
      </c>
      <c r="CD74" s="207">
        <f>INDEX($A$61:$H$74,MATCH($L74,$B$61:$B$74,0),MATCH($BQ$60,$A$61:$H$61,0))*고양시_Modal_split!P$3 * 0.01</f>
        <v>4.5066808461079413</v>
      </c>
      <c r="CE74" s="304">
        <f t="shared" si="31"/>
        <v>43.47478368736067</v>
      </c>
      <c r="CF74" s="304">
        <f t="shared" si="13"/>
        <v>7302.2109886306162</v>
      </c>
      <c r="CG74" s="304">
        <f t="shared" si="14"/>
        <v>883.46971136100797</v>
      </c>
      <c r="CH74" s="304">
        <f t="shared" si="15"/>
        <v>1423.7991657610619</v>
      </c>
      <c r="CI74" s="304">
        <f t="shared" si="16"/>
        <v>142.84571782989934</v>
      </c>
      <c r="CJ74" s="304">
        <f t="shared" si="17"/>
        <v>1.5526708459771672</v>
      </c>
      <c r="CK74" s="304">
        <f t="shared" si="18"/>
        <v>431.64249518165241</v>
      </c>
      <c r="CL74" s="304">
        <f t="shared" si="19"/>
        <v>4726.3300551544953</v>
      </c>
      <c r="CM74" s="304">
        <f t="shared" si="20"/>
        <v>23.290062689657503</v>
      </c>
      <c r="CN74" s="304">
        <f t="shared" si="21"/>
        <v>468.90659548510445</v>
      </c>
      <c r="CO74" s="304">
        <f t="shared" si="22"/>
        <v>35.711429457474836</v>
      </c>
      <c r="CP74" s="304">
        <f t="shared" si="23"/>
        <v>15.526708459771669</v>
      </c>
      <c r="CQ74" s="304">
        <f t="shared" si="24"/>
        <v>27.948075227589005</v>
      </c>
      <c r="CR74" s="304">
        <f t="shared" si="25"/>
        <v>15526.708459771669</v>
      </c>
      <c r="CS74" s="305">
        <f t="shared" si="32"/>
        <v>0</v>
      </c>
      <c r="CV74" s="267" t="s">
        <v>26</v>
      </c>
      <c r="CW74" s="267" t="s">
        <v>26</v>
      </c>
      <c r="CX74" s="267">
        <f>INDEX($M$60:$Z$74,MATCH($CW74,$L$60:$L$74,0),MATCH(CX$61,$M$61:$Z$61,0))/INDEX(고양시_재차인원!$D$4:$H$35,MATCH("고양시",고양시_재차인원!$B$4:$B$35,0),MATCH($CX$60,고양시_재차인원!$D$4:$H$4,0))</f>
        <v>714.54932564883222</v>
      </c>
      <c r="CY74" s="267">
        <f>INDEX($M$60:$Z$74,MATCH($CW74,$L$60:$L$74,0),MATCH(CY$61,$M$61:$Z$61,0))/INDEX(고양시_재차인원!$K$4:$O$20,MATCH("경기도",고양시_재차인원!$K$4:$K$20,0),MATCH($CY$61,고양시_재차인원!$K$4:$O$4,0))</f>
        <v>5.9106275363518482E-3</v>
      </c>
      <c r="CZ74" s="267">
        <f>INDEX($M$60:$Z$74,MATCH($CW74,$L$60:$L$74,0),MATCH(CZ$61,$M$61:$Z$61,0))/INDEX(고양시_재차인원!$K$4:$O$20,MATCH("경기도",고양시_재차인원!$K$4:$K$20,0),MATCH($CZ$61,고양시_재차인원!$K$4:$O$4,0))</f>
        <v>1.6431544551058135</v>
      </c>
      <c r="DA74" s="267">
        <f>INDEX($M$60:$Z$74,MATCH($CW74,$L$60:$L$74,0),MATCH(DA$61,$M$61:$Z$61,0))/INDEX(고양시_재차인원!$D$4:$H$35,MATCH("고양시",고양시_재차인원!$B$4:$B$35,0),MATCH($CX$60,고양시_재차인원!$D$4:$H$4,0))</f>
        <v>45.884307111619677</v>
      </c>
      <c r="DB74" s="267">
        <f>INDEX($AA$60:$AN$74,MATCH($CW74,$L$60:$L$74,0),MATCH(DB$61,$AA$61:$AN$61,0))/INDEX(고양시_재차인원!$D$4:$H$35,MATCH("고양시",고양시_재차인원!$B$4:$B$35,0),MATCH($DB$60,고양시_재차인원!$D$4:$H$4,0))</f>
        <v>4413.6188267027264</v>
      </c>
      <c r="DC74" s="267">
        <f>INDEX($AA$60:$AN$74,MATCH($CW74,$L$60:$L$74,0),MATCH(DC$61,$AA$61:$AN$61,0))/INDEX(고양시_재차인원!$K$4:$O$20,MATCH("경기도",고양시_재차인원!$K$4:$K$20,0),MATCH($DC$61,고양시_재차인원!$K$4:$O$4,0))</f>
        <v>4.5961827929116995E-2</v>
      </c>
      <c r="DD74" s="267">
        <f>INDEX($AA$60:$AN$74,MATCH($CW74,$L$60:$L$74,0),MATCH(DD$61,$AA$61:$AN$61,0))/INDEX(고양시_재차인원!$K$4:$O$20,MATCH("경기도",고양시_재차인원!$K$4:$K$20,0),MATCH($DD$61,고양시_재차인원!$K$4:$O$4,0))</f>
        <v>12.77738816429452</v>
      </c>
      <c r="DE74" s="267">
        <f>INDEX($AA$60:$AN$74,MATCH($CW74,$L$60:$L$74,0),MATCH(DE$61,$AA$61:$AN$61,0))/INDEX(고양시_재차인원!$D$4:$H$35,MATCH("고양시",고양시_재차인원!$B$4:$B$35,0),MATCH($DB$60,고양시_재차인원!$D$4:$H$4,0))</f>
        <v>283.41758147229928</v>
      </c>
      <c r="DF74" s="267">
        <f>INDEX($AO$60:$BB$74,MATCH($CW74,$L$60:$L$74,0),MATCH(DF$61,$AO$61:$BB$61,0))/INDEX(고양시_재차인원!$D$4:$H$35,MATCH("고양시",고양시_재차인원!$B$4:$B$35,0),MATCH($DF$60,고양시_재차인원!$D$4:$H$4,0))</f>
        <v>212.18896173113512</v>
      </c>
      <c r="DG74" s="267">
        <f>INDEX($AO$60:$BB$74,MATCH($CW74,$L$60:$L$74,0),MATCH(DG$61,$AO$61:$BB$61,0))/INDEX(고양시_재차인원!$K$4:$O$20,MATCH("경기도",고양시_재차인원!$K$4:$K$20,0),MATCH($DG$61,고양시_재차인원!$K$4:$O$4,0))</f>
        <v>2.0372742520919831E-3</v>
      </c>
      <c r="DH74" s="267">
        <f>INDEX($AO$60:$BB$74,MATCH($CW74,$L$60:$L$74,0),MATCH(DH$61,$AO$61:$BB$61,0))/INDEX(고양시_재차인원!$K$4:$O$20,MATCH("경기도",고양시_재차인원!$K$4:$K$20,0),MATCH($DH$61,고양시_재차인원!$K$4:$O$4,0))</f>
        <v>0.56636224208157127</v>
      </c>
      <c r="DI74" s="267">
        <f>INDEX($AO$60:$BB$74,MATCH($CW74,$L$60:$L$74,0),MATCH(DI$61,$AO$61:$BB$61,0))/INDEX(고양시_재차인원!$D$4:$H$35,MATCH("고양시",고양시_재차인원!$B$4:$B$35,0),MATCH($DF$60,고양시_재차인원!$D$4:$H$4,0))</f>
        <v>13.625572282118393</v>
      </c>
      <c r="DJ74" s="267">
        <f>INDEX($BC$60:$BP$74,MATCH($CW74,$L$60:$L$74,0),MATCH(DJ$61,$BC$61:$BP$61,0))/INDEX(고양시_재차인원!$D$4:$H$35,MATCH("고양시",고양시_재차인원!$B$4:$B$35,0),MATCH($DJ$60,고양시_재차인원!$D$4:$H$4,0))</f>
        <v>0.5500411769700384</v>
      </c>
      <c r="DK74" s="267">
        <f>INDEX($BC$60:$BP$74,MATCH($CW74,$L$60:$L$74,0),MATCH(DK$61,$BC$61:$BP$61,0))/INDEX(고양시_재차인원!$K$4:$O$20,MATCH("경기도",고양시_재차인원!$K$4:$K$20,0),MATCH($DK$61,고양시_재차인원!$K$4:$O$4,0))</f>
        <v>5.5248115310968756E-6</v>
      </c>
      <c r="DL74" s="267">
        <f>INDEX($BC$60:$BP$74,MATCH($CW74,$L$60:$L$74,0),MATCH(DL$61,$BC$61:$BP$61,0))/INDEX(고양시_재차인원!$K$4:$O$20,MATCH("경기도",고양시_재차인원!$K$4:$K$20,0),MATCH($DL$61,고양시_재차인원!$K$4:$O$4,0))</f>
        <v>1.535897605644931E-3</v>
      </c>
      <c r="DM74" s="267">
        <f>INDEX($BC$60:$BP$74,MATCH($CW74,$L$60:$L$74,0),MATCH(DM$61,$BC$61:$BP$61,0))/INDEX(고양시_재차인원!$D$4:$H$35,MATCH("고양시",고양시_재차인원!$B$4:$B$35,0),MATCH($DJ$60,고양시_재차인원!$D$4:$H$4,0))</f>
        <v>3.5320526354444305E-2</v>
      </c>
      <c r="DN74" s="267">
        <f>INDEX($BQ$60:$CD$74,MATCH($CW74,$L$60:$L$74,0),MATCH(DN$61,$BQ$61:$CD$61,0))/INDEX(고양시_재차인원!$D$4:$H$35,MATCH("고양시",고양시_재차인원!$B$4:$B$35,0),MATCH($DN$60,고양시_재차인원!$D$4:$H$4,0))</f>
        <v>1.6821365094639404</v>
      </c>
      <c r="DO74" s="267">
        <f>INDEX($BQ$60:$CD$74,MATCH($CW74,$L$60:$L$74,0),MATCH(DO$61,$BQ$61:$CD$61,0))/INDEX(고양시_재차인원!$K$4:$O$20,MATCH("경기도",고양시_재차인원!$K$4:$K$20,0),MATCH($DO$61,고양시_재차인원!$K$4:$O$4,0))</f>
        <v>1.5653632671441269E-5</v>
      </c>
      <c r="DP74" s="267">
        <f>INDEX($BQ$60:$CD$74,MATCH($CW74,$L$60:$L$74,0),MATCH(DP$61,$BQ$61:$CD$61,0))/INDEX(고양시_재차인원!$K$4:$O$20,MATCH("경기도",고양시_재차인원!$K$4:$K$20,0),MATCH($DP$61,고양시_재차인원!$K$4:$O$4,0))</f>
        <v>4.3517098826606725E-3</v>
      </c>
      <c r="DQ74" s="267">
        <f>INDEX($BQ$60:$CD$74,MATCH($CW74,$L$60:$L$74,0),MATCH(DQ$61,$BQ$61:$CD$61,0))/INDEX(고양시_재차인원!$D$4:$H$35,MATCH("고양시",고양시_재차인원!$B$4:$B$35,0),MATCH($DN$60,고양시_재차인원!$D$4:$H$4,0))</f>
        <v>0.1080172710733808</v>
      </c>
      <c r="DR74" s="270">
        <f t="shared" si="33"/>
        <v>5342.5892917691281</v>
      </c>
      <c r="DS74" s="270">
        <f t="shared" si="26"/>
        <v>5.3930908161763366E-2</v>
      </c>
      <c r="DT74" s="270">
        <f t="shared" si="27"/>
        <v>14.99279246897021</v>
      </c>
      <c r="DU74" s="270">
        <f t="shared" si="28"/>
        <v>343.07079866346521</v>
      </c>
      <c r="DW74" s="278" t="s">
        <v>26</v>
      </c>
      <c r="DX74" s="278" t="s">
        <v>26</v>
      </c>
      <c r="DY74" s="281">
        <f t="shared" ref="DY74" si="46">DR74+DU74</f>
        <v>5685.6600904325933</v>
      </c>
      <c r="DZ74" s="281">
        <f t="shared" ref="DZ74" si="47">DS74+DT74</f>
        <v>15.046723377131974</v>
      </c>
      <c r="ED74" s="334">
        <f>SUM(ED62:ED72)-ED73</f>
        <v>0</v>
      </c>
      <c r="EE74" s="230" t="b">
        <f>SUM(EE62:EE72)=EE73</f>
        <v>1</v>
      </c>
      <c r="EK74" s="420" t="s">
        <v>169</v>
      </c>
      <c r="EL74" s="420" t="s">
        <v>169</v>
      </c>
      <c r="EM74" s="420" t="s">
        <v>575</v>
      </c>
      <c r="EN74" s="420">
        <v>5756.5210999999999</v>
      </c>
      <c r="EO74" s="420">
        <v>0.34334776653141269</v>
      </c>
      <c r="EP74" s="421">
        <v>849013</v>
      </c>
      <c r="EQ74" s="422">
        <f t="shared" si="37"/>
        <v>132.70562520042151</v>
      </c>
      <c r="ER74" s="422">
        <f t="shared" si="38"/>
        <v>0.35119665988125764</v>
      </c>
      <c r="ES74">
        <v>0</v>
      </c>
      <c r="EU74" s="306" t="s">
        <v>169</v>
      </c>
      <c r="EV74" s="306" t="s">
        <v>169</v>
      </c>
      <c r="EW74" s="306" t="s">
        <v>575</v>
      </c>
      <c r="EX74" s="306">
        <v>5756.5210999999999</v>
      </c>
      <c r="EY74" s="306">
        <v>0.34334776653141269</v>
      </c>
      <c r="EZ74" s="307">
        <v>849013</v>
      </c>
      <c r="FA74" s="308">
        <f t="shared" si="39"/>
        <v>132.70562520042151</v>
      </c>
      <c r="FB74" s="308">
        <f t="shared" si="30"/>
        <v>0.35119665988125764</v>
      </c>
      <c r="FD74" s="101"/>
      <c r="FE74" s="101"/>
      <c r="FF74" s="101"/>
      <c r="FG74" s="101"/>
      <c r="FH74" s="101"/>
      <c r="FI74" s="374"/>
      <c r="FJ74" s="404"/>
      <c r="FK74" s="404"/>
    </row>
    <row r="75" spans="1:167">
      <c r="C75" s="56">
        <f t="shared" ref="C75:F75" si="48">SUM(C62:C73)-C74</f>
        <v>0</v>
      </c>
      <c r="D75" s="56">
        <f t="shared" si="48"/>
        <v>0</v>
      </c>
      <c r="E75" s="56">
        <f t="shared" si="48"/>
        <v>0</v>
      </c>
      <c r="F75" s="56">
        <f t="shared" si="48"/>
        <v>0</v>
      </c>
      <c r="G75" s="56">
        <f>SUM(G62:G73)-G74</f>
        <v>0</v>
      </c>
      <c r="H75" s="56">
        <f t="shared" ref="H75" si="49">SUM(H62:H73)-H74</f>
        <v>0</v>
      </c>
      <c r="I75" s="56"/>
      <c r="J75" s="56"/>
      <c r="K75" s="56"/>
      <c r="L75" s="56"/>
      <c r="M75" s="56"/>
      <c r="P75" s="56"/>
      <c r="Q75" s="56"/>
      <c r="R75" s="56"/>
      <c r="S75" s="56"/>
      <c r="T75" s="301"/>
      <c r="U75" s="301"/>
      <c r="V75" s="302"/>
      <c r="W75" s="56"/>
      <c r="X75" s="56"/>
      <c r="EK75" s="420" t="s">
        <v>169</v>
      </c>
      <c r="EL75" s="420" t="s">
        <v>169</v>
      </c>
      <c r="EM75" s="420" t="s">
        <v>576</v>
      </c>
      <c r="EN75" s="420">
        <v>5584.9350000000004</v>
      </c>
      <c r="EO75" s="420">
        <v>0.33311351164388425</v>
      </c>
      <c r="EP75" s="421">
        <v>849014</v>
      </c>
      <c r="EQ75" s="422">
        <f t="shared" si="37"/>
        <v>128.75003461356479</v>
      </c>
      <c r="ER75" s="422">
        <f t="shared" si="38"/>
        <v>0.34072845101773913</v>
      </c>
      <c r="ES75">
        <v>0</v>
      </c>
      <c r="EU75" s="306" t="s">
        <v>169</v>
      </c>
      <c r="EV75" s="306" t="s">
        <v>169</v>
      </c>
      <c r="EW75" s="306" t="s">
        <v>576</v>
      </c>
      <c r="EX75" s="306">
        <v>5584.9350000000004</v>
      </c>
      <c r="EY75" s="306">
        <v>0.33311351164388425</v>
      </c>
      <c r="EZ75" s="307">
        <v>849014</v>
      </c>
      <c r="FA75" s="308">
        <f t="shared" si="39"/>
        <v>128.75003461356479</v>
      </c>
      <c r="FB75" s="308">
        <f t="shared" si="30"/>
        <v>0.34072845101773913</v>
      </c>
      <c r="FD75" s="101"/>
      <c r="FE75" s="101"/>
      <c r="FF75" s="101"/>
      <c r="FG75" s="101"/>
      <c r="FH75" s="101"/>
      <c r="FI75" s="374"/>
      <c r="FJ75" s="404"/>
      <c r="FK75" s="404"/>
    </row>
    <row r="76" spans="1:167">
      <c r="C76" s="56"/>
      <c r="D76" s="56"/>
      <c r="E76" s="56"/>
      <c r="F76" s="56"/>
      <c r="G76" s="56"/>
      <c r="H76" s="56"/>
      <c r="I76" s="56"/>
      <c r="J76" s="56"/>
      <c r="K76" s="56"/>
      <c r="L76" s="56"/>
      <c r="M76" s="56"/>
      <c r="P76" s="56"/>
      <c r="Q76" s="56"/>
      <c r="R76" s="56"/>
      <c r="S76" s="56"/>
      <c r="T76" s="301"/>
      <c r="U76" s="301"/>
      <c r="V76" s="302"/>
      <c r="W76" s="56"/>
      <c r="X76" s="56"/>
      <c r="EK76" s="420" t="s">
        <v>169</v>
      </c>
      <c r="EL76" s="420" t="s">
        <v>169</v>
      </c>
      <c r="EM76" s="420" t="s">
        <v>382</v>
      </c>
      <c r="EN76" s="420">
        <v>5424.4053999999996</v>
      </c>
      <c r="EO76" s="420">
        <v>0.32353872182470311</v>
      </c>
      <c r="EP76" s="421">
        <v>849015</v>
      </c>
      <c r="EQ76" s="422">
        <f t="shared" si="37"/>
        <v>125.049330566606</v>
      </c>
      <c r="ER76" s="422">
        <f t="shared" si="38"/>
        <v>0.33093478252374636</v>
      </c>
      <c r="ES76">
        <v>0</v>
      </c>
      <c r="EU76" s="306" t="s">
        <v>169</v>
      </c>
      <c r="EV76" s="306" t="s">
        <v>169</v>
      </c>
      <c r="EW76" s="306" t="s">
        <v>382</v>
      </c>
      <c r="EX76" s="306">
        <v>5424.4053999999996</v>
      </c>
      <c r="EY76" s="306">
        <v>0.32353872182470311</v>
      </c>
      <c r="EZ76" s="307">
        <v>849015</v>
      </c>
      <c r="FA76" s="308">
        <f t="shared" si="39"/>
        <v>125.049330566606</v>
      </c>
      <c r="FB76" s="308">
        <f t="shared" si="30"/>
        <v>0.33093478252374636</v>
      </c>
      <c r="FD76" s="101"/>
      <c r="FE76" s="101"/>
      <c r="FF76" s="101"/>
      <c r="FG76" s="101"/>
      <c r="FH76" s="101"/>
      <c r="FI76" s="374"/>
      <c r="FJ76" s="404"/>
      <c r="FK76" s="404"/>
    </row>
    <row r="77" spans="1:167">
      <c r="C77" s="56"/>
      <c r="D77" s="56"/>
      <c r="E77" s="56"/>
      <c r="F77" s="56"/>
      <c r="G77" s="56"/>
      <c r="H77" s="56"/>
      <c r="I77" s="56"/>
      <c r="J77" s="56"/>
      <c r="K77" s="56"/>
      <c r="L77" s="56"/>
      <c r="M77" s="56"/>
      <c r="P77" s="56"/>
      <c r="Q77" s="56"/>
      <c r="R77" s="56"/>
      <c r="S77" s="56"/>
      <c r="T77" s="301"/>
      <c r="U77" s="301"/>
      <c r="V77" s="302"/>
      <c r="W77" s="56"/>
      <c r="X77" s="56"/>
      <c r="EK77" s="420" t="s">
        <v>170</v>
      </c>
      <c r="EL77" s="420" t="s">
        <v>170</v>
      </c>
      <c r="EM77" s="420" t="s">
        <v>577</v>
      </c>
      <c r="EN77" s="420">
        <v>28051.338899999999</v>
      </c>
      <c r="EO77" s="420">
        <v>1</v>
      </c>
      <c r="EP77" s="421">
        <v>849016</v>
      </c>
      <c r="EQ77" s="422">
        <f t="shared" si="37"/>
        <v>319.66207245261495</v>
      </c>
      <c r="ER77" s="422">
        <f t="shared" si="38"/>
        <v>0.84596453214797396</v>
      </c>
      <c r="ES77">
        <v>0</v>
      </c>
      <c r="EU77" s="306" t="s">
        <v>170</v>
      </c>
      <c r="EV77" s="306" t="s">
        <v>170</v>
      </c>
      <c r="EW77" s="306" t="s">
        <v>577</v>
      </c>
      <c r="EX77" s="306">
        <v>28051.338899999999</v>
      </c>
      <c r="EY77" s="306">
        <v>1</v>
      </c>
      <c r="EZ77" s="307">
        <v>849016</v>
      </c>
      <c r="FA77" s="308">
        <f t="shared" si="39"/>
        <v>319.66207245261495</v>
      </c>
      <c r="FB77" s="308">
        <f t="shared" si="30"/>
        <v>0.84596453214797396</v>
      </c>
      <c r="FD77" s="101"/>
      <c r="FE77" s="101"/>
      <c r="FF77" s="101"/>
      <c r="FG77" s="101"/>
      <c r="FH77" s="101"/>
      <c r="FI77" s="374"/>
      <c r="FJ77" s="404"/>
      <c r="FK77" s="404"/>
    </row>
    <row r="78" spans="1:167">
      <c r="C78" s="56"/>
      <c r="D78" s="56"/>
      <c r="E78" s="56"/>
      <c r="F78" s="56"/>
      <c r="G78" s="56"/>
      <c r="H78" s="56"/>
      <c r="I78" s="56"/>
      <c r="J78" s="56"/>
      <c r="K78" s="56"/>
      <c r="L78" s="56"/>
      <c r="M78" s="56"/>
      <c r="P78" s="56"/>
      <c r="Q78" s="56"/>
      <c r="R78" s="56"/>
      <c r="S78" s="56"/>
      <c r="T78" s="301"/>
      <c r="U78" s="301"/>
      <c r="V78" s="302"/>
      <c r="W78" s="56"/>
      <c r="X78" s="56"/>
      <c r="EK78" s="420" t="s">
        <v>171</v>
      </c>
      <c r="EL78" s="420" t="s">
        <v>171</v>
      </c>
      <c r="EM78" s="420" t="s">
        <v>579</v>
      </c>
      <c r="EN78" s="420">
        <v>15650.840399999999</v>
      </c>
      <c r="EO78" s="420">
        <v>0.80490868986400721</v>
      </c>
      <c r="EP78" s="421">
        <v>849017</v>
      </c>
      <c r="EQ78" s="422">
        <f t="shared" si="37"/>
        <v>10.333854334745098</v>
      </c>
      <c r="ER78" s="422">
        <f t="shared" si="38"/>
        <v>2.7347862010979829E-2</v>
      </c>
      <c r="ES78">
        <v>0</v>
      </c>
      <c r="EU78" s="306" t="s">
        <v>171</v>
      </c>
      <c r="EV78" s="306" t="s">
        <v>171</v>
      </c>
      <c r="EW78" s="306" t="s">
        <v>579</v>
      </c>
      <c r="EX78" s="306">
        <v>15650.840399999999</v>
      </c>
      <c r="EY78" s="306">
        <v>0.80490868986400721</v>
      </c>
      <c r="EZ78" s="307">
        <v>849017</v>
      </c>
      <c r="FA78" s="308">
        <f t="shared" si="39"/>
        <v>10.333854334745098</v>
      </c>
      <c r="FB78" s="308">
        <f t="shared" si="30"/>
        <v>2.7347862010979829E-2</v>
      </c>
      <c r="FD78" s="101"/>
      <c r="FE78" s="101"/>
      <c r="FF78" s="101"/>
      <c r="FG78" s="101"/>
      <c r="FH78" s="101"/>
      <c r="FI78" s="374"/>
      <c r="FJ78" s="404"/>
      <c r="FK78" s="404"/>
    </row>
    <row r="79" spans="1:167">
      <c r="C79" s="56"/>
      <c r="D79" s="56"/>
      <c r="E79" s="56"/>
      <c r="F79" s="56"/>
      <c r="G79" s="56"/>
      <c r="H79" s="56"/>
      <c r="I79" s="56"/>
      <c r="J79" s="56"/>
      <c r="K79" s="56"/>
      <c r="L79" s="56"/>
      <c r="M79" s="56"/>
      <c r="P79" s="56"/>
      <c r="Q79" s="56"/>
      <c r="R79" s="56"/>
      <c r="S79" s="56"/>
      <c r="T79" s="301"/>
      <c r="U79" s="301"/>
      <c r="V79" s="302"/>
      <c r="W79" s="56"/>
      <c r="X79" s="56"/>
      <c r="EK79" s="420" t="s">
        <v>171</v>
      </c>
      <c r="EL79" s="420" t="s">
        <v>171</v>
      </c>
      <c r="EM79" s="420" t="s">
        <v>580</v>
      </c>
      <c r="EN79" s="420">
        <v>3793.4029</v>
      </c>
      <c r="EO79" s="420">
        <v>0.19509131013599282</v>
      </c>
      <c r="EP79" s="421">
        <v>849018</v>
      </c>
      <c r="EQ79" s="422">
        <f t="shared" si="37"/>
        <v>2.5046880550644186</v>
      </c>
      <c r="ER79" s="422">
        <f t="shared" si="38"/>
        <v>6.6284912764972498E-3</v>
      </c>
      <c r="ES79">
        <v>0</v>
      </c>
      <c r="EU79" s="306" t="s">
        <v>171</v>
      </c>
      <c r="EV79" s="306" t="s">
        <v>171</v>
      </c>
      <c r="EW79" s="306" t="s">
        <v>580</v>
      </c>
      <c r="EX79" s="306">
        <v>3793.4029</v>
      </c>
      <c r="EY79" s="306">
        <v>0.19509131013599282</v>
      </c>
      <c r="EZ79" s="307">
        <v>849018</v>
      </c>
      <c r="FA79" s="308">
        <f t="shared" si="39"/>
        <v>2.5046880550644186</v>
      </c>
      <c r="FB79" s="308">
        <f t="shared" si="30"/>
        <v>6.6284912764972498E-3</v>
      </c>
      <c r="FD79" s="101"/>
      <c r="FE79" s="101"/>
      <c r="FF79" s="101"/>
      <c r="FG79" s="101"/>
      <c r="FH79" s="101"/>
      <c r="FI79" s="374"/>
      <c r="FJ79" s="404"/>
      <c r="FK79" s="404"/>
    </row>
    <row r="80" spans="1:167">
      <c r="C80" s="56"/>
      <c r="D80" s="56"/>
      <c r="E80" s="56"/>
      <c r="F80" s="56"/>
      <c r="G80" s="56"/>
      <c r="H80" s="56"/>
      <c r="I80" s="56"/>
      <c r="J80" s="56"/>
      <c r="K80" s="56"/>
      <c r="L80" s="56"/>
      <c r="M80" s="56"/>
      <c r="P80" s="56"/>
      <c r="Q80" s="56"/>
      <c r="R80" s="56"/>
      <c r="S80" s="56"/>
      <c r="T80" s="301"/>
      <c r="U80" s="301"/>
      <c r="V80" s="302"/>
      <c r="W80" s="56"/>
      <c r="X80" s="56"/>
      <c r="EK80" s="420" t="s">
        <v>13</v>
      </c>
      <c r="EL80" s="420" t="s">
        <v>13</v>
      </c>
      <c r="EM80" s="420" t="s">
        <v>582</v>
      </c>
      <c r="EN80" s="420">
        <v>2617.3850000000002</v>
      </c>
      <c r="EO80" s="420">
        <v>0.44699524620375919</v>
      </c>
      <c r="EP80" s="421">
        <v>849019</v>
      </c>
      <c r="EQ80" s="422">
        <f t="shared" si="37"/>
        <v>44.997153606101236</v>
      </c>
      <c r="ER80" s="422">
        <f t="shared" si="38"/>
        <v>0.119081990885918</v>
      </c>
      <c r="ES80">
        <v>0</v>
      </c>
      <c r="EU80" s="306" t="s">
        <v>13</v>
      </c>
      <c r="EV80" s="306" t="s">
        <v>13</v>
      </c>
      <c r="EW80" s="306" t="s">
        <v>582</v>
      </c>
      <c r="EX80" s="306">
        <v>2617.3850000000002</v>
      </c>
      <c r="EY80" s="306">
        <v>0.44699524620375919</v>
      </c>
      <c r="EZ80" s="307">
        <v>849019</v>
      </c>
      <c r="FA80" s="308">
        <f t="shared" si="39"/>
        <v>44.997153606101236</v>
      </c>
      <c r="FB80" s="308">
        <f t="shared" si="30"/>
        <v>0.119081990885918</v>
      </c>
      <c r="FD80" s="101"/>
      <c r="FE80" s="101"/>
      <c r="FF80" s="101"/>
      <c r="FG80" s="101"/>
      <c r="FH80" s="101"/>
      <c r="FI80" s="374"/>
      <c r="FJ80" s="404"/>
      <c r="FK80" s="404"/>
    </row>
    <row r="81" spans="1:167">
      <c r="C81" s="56"/>
      <c r="D81" s="56"/>
      <c r="E81" s="56"/>
      <c r="F81" s="56"/>
      <c r="G81" s="56"/>
      <c r="H81" s="56"/>
      <c r="I81" s="56"/>
      <c r="J81" s="56"/>
      <c r="K81" s="56"/>
      <c r="L81" s="56"/>
      <c r="M81" s="56"/>
      <c r="P81" s="56"/>
      <c r="Q81" s="56"/>
      <c r="R81" s="56"/>
      <c r="S81" s="56"/>
      <c r="T81" s="301"/>
      <c r="U81" s="301"/>
      <c r="V81" s="302"/>
      <c r="W81" s="56"/>
      <c r="X81" s="56"/>
      <c r="EK81" s="420" t="s">
        <v>13</v>
      </c>
      <c r="EL81" s="420" t="s">
        <v>13</v>
      </c>
      <c r="EM81" s="420" t="s">
        <v>583</v>
      </c>
      <c r="EN81" s="420">
        <v>3238.1246999999998</v>
      </c>
      <c r="EO81" s="420">
        <v>0.5530047537962407</v>
      </c>
      <c r="EP81" s="421">
        <v>849020</v>
      </c>
      <c r="EQ81" s="422">
        <f t="shared" si="37"/>
        <v>55.6686901321779</v>
      </c>
      <c r="ER81" s="422">
        <f t="shared" si="38"/>
        <v>0.14732350648179993</v>
      </c>
      <c r="ES81">
        <v>0</v>
      </c>
      <c r="EU81" s="306" t="s">
        <v>13</v>
      </c>
      <c r="EV81" s="306" t="s">
        <v>13</v>
      </c>
      <c r="EW81" s="306" t="s">
        <v>583</v>
      </c>
      <c r="EX81" s="306">
        <v>3238.1246999999998</v>
      </c>
      <c r="EY81" s="306">
        <v>0.5530047537962407</v>
      </c>
      <c r="EZ81" s="307">
        <v>849020</v>
      </c>
      <c r="FA81" s="308">
        <f t="shared" si="39"/>
        <v>55.6686901321779</v>
      </c>
      <c r="FB81" s="308">
        <f t="shared" si="30"/>
        <v>0.14732350648179993</v>
      </c>
      <c r="FD81" s="101"/>
      <c r="FE81" s="101"/>
      <c r="FF81" s="101"/>
      <c r="FG81" s="101"/>
      <c r="FH81" s="101"/>
      <c r="FI81" s="374"/>
      <c r="FJ81" s="404"/>
      <c r="FK81" s="404"/>
    </row>
    <row r="82" spans="1:167">
      <c r="C82" s="56"/>
      <c r="D82" s="56"/>
      <c r="E82" s="56"/>
      <c r="F82" s="56"/>
      <c r="G82" s="56"/>
      <c r="H82" s="56"/>
      <c r="I82" s="56"/>
      <c r="J82" s="56"/>
      <c r="K82" s="56"/>
      <c r="L82" s="56"/>
      <c r="M82" s="56"/>
      <c r="P82" s="56"/>
      <c r="Q82" s="56"/>
      <c r="R82" s="56"/>
      <c r="S82" s="56"/>
      <c r="T82" s="301"/>
      <c r="U82" s="301"/>
      <c r="V82" s="302"/>
      <c r="W82" s="56"/>
      <c r="X82" s="56"/>
      <c r="EQ82" s="310">
        <f>SUM(EQ62:EQ81)</f>
        <v>5523.6187778552649</v>
      </c>
      <c r="ER82" s="310">
        <f>SUM(ER62:ER81)</f>
        <v>14.617891760883715</v>
      </c>
      <c r="FA82" s="310"/>
      <c r="FB82" s="310"/>
      <c r="FJ82" s="310"/>
      <c r="FK82" s="310"/>
    </row>
    <row r="83" spans="1:167">
      <c r="C83" s="56"/>
      <c r="D83" s="56"/>
      <c r="E83" s="56"/>
      <c r="F83" s="56"/>
      <c r="G83" s="56"/>
      <c r="H83" s="56"/>
      <c r="I83" s="56"/>
      <c r="J83" s="56"/>
      <c r="K83" s="56"/>
      <c r="L83" s="56"/>
      <c r="M83" s="56"/>
      <c r="P83" s="56"/>
      <c r="Q83" s="56"/>
      <c r="R83" s="56"/>
      <c r="S83" s="56"/>
      <c r="T83" s="301"/>
      <c r="U83" s="301"/>
      <c r="V83" s="302"/>
      <c r="W83" s="56"/>
      <c r="X83" s="56"/>
    </row>
    <row r="84" spans="1:167" ht="25.5">
      <c r="A84" s="285">
        <v>2025</v>
      </c>
      <c r="B84" s="282"/>
      <c r="C84" s="283"/>
      <c r="D84" s="284"/>
      <c r="E84" s="284"/>
      <c r="F84" s="284"/>
      <c r="G84" s="284"/>
      <c r="H84" s="284"/>
      <c r="I84" s="284"/>
      <c r="J84" s="227"/>
      <c r="K84" s="282"/>
      <c r="L84" s="282"/>
      <c r="M84" s="283"/>
      <c r="N84" s="284"/>
      <c r="O84" s="284"/>
      <c r="P84" s="284"/>
      <c r="Q84" s="284"/>
      <c r="R84" s="284"/>
      <c r="S84" s="284"/>
      <c r="T84" s="227"/>
      <c r="U84" s="227"/>
      <c r="V84" s="227"/>
      <c r="W84" s="227"/>
      <c r="X84" s="227"/>
      <c r="Y84" s="227"/>
      <c r="Z84" s="227"/>
      <c r="AA84" s="227"/>
      <c r="AB84" s="227"/>
      <c r="AC84" s="227"/>
      <c r="AD84" s="227"/>
      <c r="AE84" s="227"/>
      <c r="AF84" s="227"/>
      <c r="AG84" s="227"/>
      <c r="AH84" s="227"/>
      <c r="AI84" s="227"/>
      <c r="AJ84" s="227"/>
      <c r="AK84" s="227"/>
      <c r="AL84" s="227"/>
      <c r="AM84" s="227"/>
      <c r="AN84" s="227"/>
      <c r="AO84" s="227"/>
      <c r="AP84" s="227"/>
      <c r="AQ84" s="227"/>
      <c r="AR84" s="227"/>
      <c r="AS84" s="227"/>
      <c r="AT84" s="227"/>
      <c r="AU84" s="227"/>
      <c r="AV84" s="227"/>
      <c r="AW84" s="227"/>
      <c r="AX84" s="227"/>
      <c r="AY84" s="227"/>
      <c r="AZ84" s="227"/>
      <c r="BA84" s="227"/>
      <c r="BB84" s="227"/>
      <c r="BC84" s="227"/>
      <c r="BD84" s="227"/>
      <c r="BE84" s="227"/>
      <c r="BF84" s="227"/>
      <c r="BG84" s="227"/>
      <c r="BH84" s="227"/>
      <c r="BI84" s="227"/>
      <c r="BJ84" s="227"/>
      <c r="BK84" s="227"/>
      <c r="BL84" s="227"/>
      <c r="BM84" s="227"/>
      <c r="BN84" s="227"/>
      <c r="BO84" s="227"/>
      <c r="BP84" s="227"/>
      <c r="BQ84" s="227"/>
      <c r="BR84" s="227"/>
      <c r="BS84" s="227"/>
      <c r="BT84" s="227"/>
      <c r="BU84" s="227"/>
      <c r="BV84" s="227"/>
      <c r="BW84" s="227"/>
      <c r="BX84" s="227"/>
      <c r="BY84" s="227"/>
      <c r="BZ84" s="227"/>
      <c r="CA84" s="227"/>
      <c r="CB84" s="227"/>
      <c r="CC84" s="227"/>
      <c r="CD84" s="227"/>
      <c r="CE84" s="227"/>
      <c r="CF84" s="227"/>
      <c r="CG84" s="227"/>
      <c r="CH84" s="227"/>
      <c r="CI84" s="227"/>
      <c r="CJ84" s="227"/>
      <c r="CK84" s="227"/>
      <c r="CL84" s="227"/>
      <c r="CM84" s="227"/>
      <c r="CN84" s="227"/>
      <c r="CO84" s="227"/>
      <c r="CP84" s="227"/>
      <c r="CQ84" s="227"/>
      <c r="CR84" s="227"/>
      <c r="CS84" s="227"/>
      <c r="CT84" s="227"/>
      <c r="CU84" s="227"/>
      <c r="CV84" s="227"/>
      <c r="CW84" s="227"/>
      <c r="CX84" s="227"/>
      <c r="CY84" s="227"/>
      <c r="CZ84" s="227"/>
      <c r="DA84" s="227"/>
      <c r="DB84" s="227"/>
      <c r="DC84" s="227"/>
      <c r="DD84" s="227"/>
      <c r="DE84" s="227"/>
      <c r="DF84" s="227"/>
      <c r="DG84" s="227"/>
      <c r="DH84" s="227"/>
      <c r="DI84" s="227"/>
      <c r="DJ84" s="227"/>
      <c r="DK84" s="227"/>
      <c r="DL84" s="227"/>
      <c r="DM84" s="227"/>
      <c r="DN84" s="227"/>
      <c r="DO84" s="227"/>
      <c r="DP84" s="227"/>
      <c r="DQ84" s="227"/>
      <c r="DR84" s="227"/>
      <c r="DS84" s="227"/>
      <c r="DT84" s="227"/>
      <c r="DU84" s="227"/>
      <c r="DV84" s="227"/>
      <c r="DW84" s="227"/>
      <c r="DX84" s="227"/>
      <c r="DY84" s="227"/>
      <c r="DZ84" s="227"/>
      <c r="EA84" s="227"/>
      <c r="EB84" s="227"/>
      <c r="EC84" s="227"/>
      <c r="ED84" s="227"/>
      <c r="EE84" s="227"/>
      <c r="EF84" s="227"/>
      <c r="EG84" s="227"/>
      <c r="EH84" s="227"/>
      <c r="EI84" s="227"/>
      <c r="EJ84" s="227"/>
      <c r="EK84" s="227"/>
      <c r="EL84" s="227"/>
      <c r="EM84" s="227"/>
      <c r="EN84" s="227"/>
      <c r="EO84" s="227"/>
      <c r="EP84" s="227"/>
      <c r="EQ84" s="227"/>
      <c r="ER84" s="227"/>
      <c r="ES84" s="227"/>
      <c r="EU84" s="227"/>
      <c r="EV84" s="227"/>
      <c r="EW84" s="227"/>
      <c r="EX84" s="227"/>
      <c r="EY84" s="227"/>
      <c r="EZ84" s="227"/>
      <c r="FA84" s="227"/>
      <c r="FB84" s="227"/>
    </row>
    <row r="85" spans="1:167" ht="23.5" thickBot="1">
      <c r="A85" s="32" t="s">
        <v>641</v>
      </c>
      <c r="C85" t="s">
        <v>463</v>
      </c>
      <c r="D85" t="s">
        <v>467</v>
      </c>
      <c r="E85" t="s">
        <v>624</v>
      </c>
      <c r="F85" t="s">
        <v>465</v>
      </c>
      <c r="G85" t="s">
        <v>466</v>
      </c>
      <c r="H85" t="s">
        <v>21</v>
      </c>
      <c r="K85" s="32" t="s">
        <v>625</v>
      </c>
      <c r="CV85" s="32" t="s">
        <v>626</v>
      </c>
      <c r="CY85" t="s">
        <v>478</v>
      </c>
      <c r="CZ85" t="s">
        <v>479</v>
      </c>
      <c r="EK85" s="353" t="s">
        <v>860</v>
      </c>
      <c r="FD85" s="353"/>
    </row>
    <row r="86" spans="1:167">
      <c r="A86" t="s">
        <v>627</v>
      </c>
      <c r="C86" t="s">
        <v>427</v>
      </c>
      <c r="D86" t="s">
        <v>428</v>
      </c>
      <c r="E86" t="s">
        <v>429</v>
      </c>
      <c r="F86" t="s">
        <v>430</v>
      </c>
      <c r="G86" t="s">
        <v>431</v>
      </c>
      <c r="H86" t="s">
        <v>457</v>
      </c>
      <c r="K86" s="159" t="s">
        <v>482</v>
      </c>
      <c r="L86" s="159"/>
      <c r="M86" s="538" t="s">
        <v>463</v>
      </c>
      <c r="N86" s="539"/>
      <c r="O86" s="539"/>
      <c r="P86" s="539"/>
      <c r="Q86" s="539"/>
      <c r="R86" s="539"/>
      <c r="S86" s="539"/>
      <c r="T86" s="539"/>
      <c r="U86" s="539"/>
      <c r="V86" s="539"/>
      <c r="W86" s="539"/>
      <c r="X86" s="539"/>
      <c r="Y86" s="539"/>
      <c r="Z86" s="540"/>
      <c r="AA86" s="538" t="s">
        <v>467</v>
      </c>
      <c r="AB86" s="539"/>
      <c r="AC86" s="539"/>
      <c r="AD86" s="539"/>
      <c r="AE86" s="539"/>
      <c r="AF86" s="539"/>
      <c r="AG86" s="539"/>
      <c r="AH86" s="539"/>
      <c r="AI86" s="539"/>
      <c r="AJ86" s="539"/>
      <c r="AK86" s="539"/>
      <c r="AL86" s="539"/>
      <c r="AM86" s="539"/>
      <c r="AN86" s="540"/>
      <c r="AO86" s="538" t="s">
        <v>464</v>
      </c>
      <c r="AP86" s="539"/>
      <c r="AQ86" s="539"/>
      <c r="AR86" s="539"/>
      <c r="AS86" s="539"/>
      <c r="AT86" s="539"/>
      <c r="AU86" s="539"/>
      <c r="AV86" s="539"/>
      <c r="AW86" s="539"/>
      <c r="AX86" s="539"/>
      <c r="AY86" s="539"/>
      <c r="AZ86" s="539"/>
      <c r="BA86" s="539"/>
      <c r="BB86" s="540"/>
      <c r="BC86" s="538" t="s">
        <v>465</v>
      </c>
      <c r="BD86" s="539"/>
      <c r="BE86" s="539"/>
      <c r="BF86" s="539"/>
      <c r="BG86" s="539"/>
      <c r="BH86" s="539"/>
      <c r="BI86" s="539"/>
      <c r="BJ86" s="539"/>
      <c r="BK86" s="539"/>
      <c r="BL86" s="539"/>
      <c r="BM86" s="539"/>
      <c r="BN86" s="539"/>
      <c r="BO86" s="539"/>
      <c r="BP86" s="540"/>
      <c r="BQ86" s="538" t="s">
        <v>466</v>
      </c>
      <c r="BR86" s="539"/>
      <c r="BS86" s="539"/>
      <c r="BT86" s="539"/>
      <c r="BU86" s="539"/>
      <c r="BV86" s="539"/>
      <c r="BW86" s="539"/>
      <c r="BX86" s="539"/>
      <c r="BY86" s="539"/>
      <c r="BZ86" s="539"/>
      <c r="CA86" s="539"/>
      <c r="CB86" s="539"/>
      <c r="CC86" s="539"/>
      <c r="CD86" s="540"/>
      <c r="CE86" s="538" t="s">
        <v>21</v>
      </c>
      <c r="CF86" s="539"/>
      <c r="CG86" s="539"/>
      <c r="CH86" s="539"/>
      <c r="CI86" s="539"/>
      <c r="CJ86" s="539"/>
      <c r="CK86" s="539"/>
      <c r="CL86" s="539"/>
      <c r="CM86" s="539"/>
      <c r="CN86" s="539"/>
      <c r="CO86" s="539"/>
      <c r="CP86" s="539"/>
      <c r="CQ86" s="539"/>
      <c r="CR86" s="540"/>
      <c r="CV86" s="263" t="s">
        <v>628</v>
      </c>
      <c r="CW86" s="263"/>
      <c r="CX86" s="541" t="s">
        <v>629</v>
      </c>
      <c r="CY86" s="541"/>
      <c r="CZ86" s="541"/>
      <c r="DA86" s="541"/>
      <c r="DB86" s="542" t="s">
        <v>630</v>
      </c>
      <c r="DC86" s="541"/>
      <c r="DD86" s="541"/>
      <c r="DE86" s="541"/>
      <c r="DF86" s="542" t="s">
        <v>464</v>
      </c>
      <c r="DG86" s="541"/>
      <c r="DH86" s="541"/>
      <c r="DI86" s="541"/>
      <c r="DJ86" s="542" t="s">
        <v>465</v>
      </c>
      <c r="DK86" s="541"/>
      <c r="DL86" s="541"/>
      <c r="DM86" s="541"/>
      <c r="DN86" s="542" t="s">
        <v>466</v>
      </c>
      <c r="DO86" s="541"/>
      <c r="DP86" s="541"/>
      <c r="DQ86" s="541"/>
      <c r="DR86" s="542" t="s">
        <v>21</v>
      </c>
      <c r="DS86" s="541"/>
      <c r="DT86" s="541"/>
      <c r="DU86" s="541"/>
      <c r="DW86" s="278"/>
      <c r="DX86" s="278"/>
      <c r="DY86" s="442" t="s">
        <v>588</v>
      </c>
      <c r="DZ86" s="442"/>
      <c r="EB86" s="278"/>
      <c r="EC86" s="278"/>
      <c r="ED86" s="442" t="s">
        <v>631</v>
      </c>
      <c r="EE86" s="442"/>
      <c r="EI86" t="s">
        <v>632</v>
      </c>
    </row>
    <row r="87" spans="1:167">
      <c r="A87" s="199"/>
      <c r="B87" s="199"/>
      <c r="C87" s="202" t="s">
        <v>463</v>
      </c>
      <c r="D87" s="202" t="s">
        <v>467</v>
      </c>
      <c r="E87" s="202" t="s">
        <v>464</v>
      </c>
      <c r="F87" s="202" t="s">
        <v>465</v>
      </c>
      <c r="G87" s="202" t="s">
        <v>466</v>
      </c>
      <c r="H87" s="202" t="s">
        <v>21</v>
      </c>
      <c r="K87" s="159"/>
      <c r="L87" s="159"/>
      <c r="M87" s="211" t="s">
        <v>472</v>
      </c>
      <c r="N87" s="160" t="s">
        <v>156</v>
      </c>
      <c r="O87" s="160" t="s">
        <v>475</v>
      </c>
      <c r="P87" s="160" t="s">
        <v>476</v>
      </c>
      <c r="Q87" s="160" t="s">
        <v>477</v>
      </c>
      <c r="R87" s="160" t="s">
        <v>478</v>
      </c>
      <c r="S87" s="160" t="s">
        <v>479</v>
      </c>
      <c r="T87" s="160" t="s">
        <v>480</v>
      </c>
      <c r="U87" s="160" t="s">
        <v>449</v>
      </c>
      <c r="V87" s="160" t="s">
        <v>157</v>
      </c>
      <c r="W87" s="160" t="s">
        <v>473</v>
      </c>
      <c r="X87" s="160" t="s">
        <v>474</v>
      </c>
      <c r="Y87" s="160" t="s">
        <v>46</v>
      </c>
      <c r="Z87" s="212" t="s">
        <v>11</v>
      </c>
      <c r="AA87" s="211" t="s">
        <v>472</v>
      </c>
      <c r="AB87" s="160" t="s">
        <v>156</v>
      </c>
      <c r="AC87" s="160" t="s">
        <v>475</v>
      </c>
      <c r="AD87" s="160" t="s">
        <v>476</v>
      </c>
      <c r="AE87" s="160" t="s">
        <v>477</v>
      </c>
      <c r="AF87" s="160" t="s">
        <v>478</v>
      </c>
      <c r="AG87" s="160" t="s">
        <v>479</v>
      </c>
      <c r="AH87" s="160" t="s">
        <v>480</v>
      </c>
      <c r="AI87" s="160" t="s">
        <v>449</v>
      </c>
      <c r="AJ87" s="160" t="s">
        <v>157</v>
      </c>
      <c r="AK87" s="160" t="s">
        <v>473</v>
      </c>
      <c r="AL87" s="160" t="s">
        <v>474</v>
      </c>
      <c r="AM87" s="160" t="s">
        <v>46</v>
      </c>
      <c r="AN87" s="212" t="s">
        <v>11</v>
      </c>
      <c r="AO87" s="211" t="s">
        <v>472</v>
      </c>
      <c r="AP87" s="160" t="s">
        <v>156</v>
      </c>
      <c r="AQ87" s="160" t="s">
        <v>475</v>
      </c>
      <c r="AR87" s="160" t="s">
        <v>476</v>
      </c>
      <c r="AS87" s="160" t="s">
        <v>477</v>
      </c>
      <c r="AT87" s="160" t="s">
        <v>478</v>
      </c>
      <c r="AU87" s="160" t="s">
        <v>479</v>
      </c>
      <c r="AV87" s="160" t="s">
        <v>480</v>
      </c>
      <c r="AW87" s="160" t="s">
        <v>449</v>
      </c>
      <c r="AX87" s="160" t="s">
        <v>157</v>
      </c>
      <c r="AY87" s="160" t="s">
        <v>473</v>
      </c>
      <c r="AZ87" s="160" t="s">
        <v>474</v>
      </c>
      <c r="BA87" s="160" t="s">
        <v>46</v>
      </c>
      <c r="BB87" s="212" t="s">
        <v>11</v>
      </c>
      <c r="BC87" s="211" t="s">
        <v>472</v>
      </c>
      <c r="BD87" s="160" t="s">
        <v>156</v>
      </c>
      <c r="BE87" s="160" t="s">
        <v>475</v>
      </c>
      <c r="BF87" s="160" t="s">
        <v>476</v>
      </c>
      <c r="BG87" s="160" t="s">
        <v>477</v>
      </c>
      <c r="BH87" s="160" t="s">
        <v>478</v>
      </c>
      <c r="BI87" s="160" t="s">
        <v>479</v>
      </c>
      <c r="BJ87" s="160" t="s">
        <v>480</v>
      </c>
      <c r="BK87" s="160" t="s">
        <v>449</v>
      </c>
      <c r="BL87" s="160" t="s">
        <v>157</v>
      </c>
      <c r="BM87" s="160" t="s">
        <v>473</v>
      </c>
      <c r="BN87" s="160" t="s">
        <v>474</v>
      </c>
      <c r="BO87" s="160" t="s">
        <v>46</v>
      </c>
      <c r="BP87" s="212" t="s">
        <v>11</v>
      </c>
      <c r="BQ87" s="211" t="s">
        <v>472</v>
      </c>
      <c r="BR87" s="160" t="s">
        <v>156</v>
      </c>
      <c r="BS87" s="160" t="s">
        <v>475</v>
      </c>
      <c r="BT87" s="160" t="s">
        <v>476</v>
      </c>
      <c r="BU87" s="160" t="s">
        <v>477</v>
      </c>
      <c r="BV87" s="160" t="s">
        <v>478</v>
      </c>
      <c r="BW87" s="160" t="s">
        <v>479</v>
      </c>
      <c r="BX87" s="160" t="s">
        <v>480</v>
      </c>
      <c r="BY87" s="160" t="s">
        <v>449</v>
      </c>
      <c r="BZ87" s="160" t="s">
        <v>157</v>
      </c>
      <c r="CA87" s="160" t="s">
        <v>473</v>
      </c>
      <c r="CB87" s="160" t="s">
        <v>474</v>
      </c>
      <c r="CC87" s="160" t="s">
        <v>46</v>
      </c>
      <c r="CD87" s="212" t="s">
        <v>11</v>
      </c>
      <c r="CE87" s="211" t="s">
        <v>472</v>
      </c>
      <c r="CF87" s="160" t="s">
        <v>156</v>
      </c>
      <c r="CG87" s="160" t="s">
        <v>475</v>
      </c>
      <c r="CH87" s="160" t="s">
        <v>476</v>
      </c>
      <c r="CI87" s="160" t="s">
        <v>477</v>
      </c>
      <c r="CJ87" s="160" t="s">
        <v>478</v>
      </c>
      <c r="CK87" s="160" t="s">
        <v>479</v>
      </c>
      <c r="CL87" s="160" t="s">
        <v>480</v>
      </c>
      <c r="CM87" s="160" t="s">
        <v>449</v>
      </c>
      <c r="CN87" s="160" t="s">
        <v>157</v>
      </c>
      <c r="CO87" s="160" t="s">
        <v>473</v>
      </c>
      <c r="CP87" s="160" t="s">
        <v>474</v>
      </c>
      <c r="CQ87" s="160" t="s">
        <v>46</v>
      </c>
      <c r="CR87" s="212" t="s">
        <v>11</v>
      </c>
      <c r="CV87" s="263"/>
      <c r="CW87" s="263"/>
      <c r="CX87" s="264" t="s">
        <v>156</v>
      </c>
      <c r="CY87" s="264" t="s">
        <v>478</v>
      </c>
      <c r="CZ87" s="264" t="s">
        <v>479</v>
      </c>
      <c r="DA87" s="264" t="s">
        <v>157</v>
      </c>
      <c r="DB87" s="264" t="s">
        <v>156</v>
      </c>
      <c r="DC87" s="264" t="s">
        <v>478</v>
      </c>
      <c r="DD87" s="264" t="s">
        <v>479</v>
      </c>
      <c r="DE87" s="264" t="s">
        <v>157</v>
      </c>
      <c r="DF87" s="264" t="s">
        <v>156</v>
      </c>
      <c r="DG87" s="264" t="s">
        <v>478</v>
      </c>
      <c r="DH87" s="264" t="s">
        <v>479</v>
      </c>
      <c r="DI87" s="264" t="s">
        <v>157</v>
      </c>
      <c r="DJ87" s="264" t="s">
        <v>156</v>
      </c>
      <c r="DK87" s="264" t="s">
        <v>478</v>
      </c>
      <c r="DL87" s="264" t="s">
        <v>479</v>
      </c>
      <c r="DM87" s="264" t="s">
        <v>157</v>
      </c>
      <c r="DN87" s="264" t="s">
        <v>156</v>
      </c>
      <c r="DO87" s="264" t="s">
        <v>478</v>
      </c>
      <c r="DP87" s="264" t="s">
        <v>479</v>
      </c>
      <c r="DQ87" s="264" t="s">
        <v>157</v>
      </c>
      <c r="DR87" s="264" t="s">
        <v>156</v>
      </c>
      <c r="DS87" s="264" t="s">
        <v>478</v>
      </c>
      <c r="DT87" s="264" t="s">
        <v>479</v>
      </c>
      <c r="DU87" s="264" t="s">
        <v>157</v>
      </c>
      <c r="DW87" s="278"/>
      <c r="DX87" s="278"/>
      <c r="DY87" s="280" t="s">
        <v>585</v>
      </c>
      <c r="DZ87" s="280" t="s">
        <v>633</v>
      </c>
      <c r="EB87" s="278"/>
      <c r="EC87" s="278"/>
      <c r="ED87" s="280" t="s">
        <v>634</v>
      </c>
      <c r="EE87" s="280" t="s">
        <v>633</v>
      </c>
      <c r="EK87" s="420" t="s">
        <v>564</v>
      </c>
      <c r="EL87" s="420"/>
      <c r="EM87" s="420" t="s">
        <v>565</v>
      </c>
      <c r="EN87" s="420" t="s">
        <v>566</v>
      </c>
      <c r="EO87" s="420" t="s">
        <v>562</v>
      </c>
      <c r="EP87" s="421" t="s">
        <v>635</v>
      </c>
      <c r="EQ87" s="421" t="s">
        <v>634</v>
      </c>
      <c r="ER87" s="421" t="s">
        <v>633</v>
      </c>
      <c r="ES87" s="424" t="s">
        <v>866</v>
      </c>
      <c r="EU87" s="306" t="s">
        <v>564</v>
      </c>
      <c r="EV87" s="306"/>
      <c r="EW87" s="306" t="s">
        <v>565</v>
      </c>
      <c r="EX87" s="306" t="s">
        <v>566</v>
      </c>
      <c r="EY87" s="306" t="s">
        <v>562</v>
      </c>
      <c r="EZ87" s="307" t="s">
        <v>597</v>
      </c>
      <c r="FA87" s="307" t="s">
        <v>585</v>
      </c>
      <c r="FB87" s="307" t="s">
        <v>259</v>
      </c>
      <c r="FD87" s="101"/>
      <c r="FE87" s="101"/>
      <c r="FF87" s="101"/>
      <c r="FG87" s="101"/>
      <c r="FH87" s="101"/>
      <c r="FI87" s="374"/>
      <c r="FJ87" s="374"/>
      <c r="FK87" s="374"/>
    </row>
    <row r="88" spans="1:167">
      <c r="A88" s="205" t="s">
        <v>605</v>
      </c>
      <c r="B88" s="205" t="s">
        <v>606</v>
      </c>
      <c r="C88" s="201">
        <f>$K29*KTDB_TripDistribution_2040!T$12</f>
        <v>213.56757785220407</v>
      </c>
      <c r="D88" s="201">
        <f>$K29*KTDB_TripDistribution_2040!U$12</f>
        <v>1545.6322529350134</v>
      </c>
      <c r="E88" s="201">
        <f>$K29*KTDB_TripDistribution_2040!V$12</f>
        <v>88.669096589790925</v>
      </c>
      <c r="F88" s="201">
        <f>$K29*KTDB_TripDistribution_2040!W$12</f>
        <v>0.13934378720239585</v>
      </c>
      <c r="G88" s="201">
        <f>$K29*KTDB_TripDistribution_2040!X$12</f>
        <v>0.52640986276460477</v>
      </c>
      <c r="H88" s="201">
        <f>$K29*KTDB_TripDistribution_2040!Y$12</f>
        <v>1848.5346810269757</v>
      </c>
      <c r="J88" s="230">
        <f t="shared" ref="J88:J92" si="50">CR88</f>
        <v>1848.5346810269757</v>
      </c>
      <c r="K88" s="206" t="s">
        <v>605</v>
      </c>
      <c r="L88" s="206" t="s">
        <v>606</v>
      </c>
      <c r="M88" s="206">
        <f>INDEX($A$87:$H$100,MATCH($L88,$B$87:$B$100,0),MATCH($M$86,$A$87:$H$87,0))*고양시_Modal_split!C$3 * 0.01</f>
        <v>0.59798921798617133</v>
      </c>
      <c r="N88" s="206">
        <f>INDEX($A$87:$H$100,MATCH($L88,$B$87:$B$100,0),MATCH($M$86,$A$87:$H$87,0))*고양시_Modal_split!D$3 * 0.01</f>
        <v>100.44083186389159</v>
      </c>
      <c r="O88" s="206">
        <f>INDEX($A$87:$H$100,MATCH($L88,$B$87:$B$100,0),MATCH($M$86,$A$87:$H$87,0))*고양시_Modal_split!E$3 * 0.01</f>
        <v>12.151995179790411</v>
      </c>
      <c r="P88" s="206">
        <f>INDEX($A$87:$H$100,MATCH($L88,$B$87:$B$100,0),MATCH($M$86,$A$87:$H$87,0))*고양시_Modal_split!F$3 * 0.01</f>
        <v>19.584146889047112</v>
      </c>
      <c r="Q88" s="206">
        <f>INDEX($A$87:$H$100,MATCH($L88,$B$87:$B$100,0),MATCH($M$86,$A$87:$H$87,0))*고양시_Modal_split!G$3 * 0.01</f>
        <v>1.9648217162402772</v>
      </c>
      <c r="R88" s="206">
        <f>INDEX($A$87:$H$100,MATCH($L88,$B$87:$B$100,0),MATCH($M$86,$A$87:$H$87,0))*고양시_Modal_split!H$3 * 0.01</f>
        <v>2.1356757785220407E-2</v>
      </c>
      <c r="S88" s="206">
        <f>INDEX($A$87:$H$100,MATCH($L88,$B$87:$B$100,0),MATCH($M$86,$A$87:$H$87,0))*고양시_Modal_split!I$3 * 0.01</f>
        <v>5.9371786642912729</v>
      </c>
      <c r="T88" s="206">
        <f>INDEX($A$87:$H$100,MATCH($L88,$B$87:$B$100,0),MATCH($M$86,$A$87:$H$87,0))*고양시_Modal_split!J$3 * 0.01</f>
        <v>65.009970698210921</v>
      </c>
      <c r="U88" s="206">
        <f>INDEX($A$87:$H$100,MATCH($L88,$B$87:$B$100,0),MATCH($M$86,$A$87:$H$87,0))*고양시_Modal_split!K$3 * 0.01</f>
        <v>0.32035136677830606</v>
      </c>
      <c r="V88" s="206">
        <f>INDEX($A$87:$H$100,MATCH($L88,$B$87:$B$100,0),MATCH($M$86,$A$87:$H$87,0))*고양시_Modal_split!L$3 * 0.01</f>
        <v>6.4497408511365633</v>
      </c>
      <c r="W88" s="206">
        <f>INDEX($A$87:$H$100,MATCH($L88,$B$87:$B$100,0),MATCH($M$86,$A$87:$H$87,0))*고양시_Modal_split!M$3 * 0.01</f>
        <v>0.49120542906006931</v>
      </c>
      <c r="X88" s="206">
        <f>INDEX($A$87:$H$100,MATCH($L88,$B$87:$B$100,0),MATCH($M$86,$A$87:$H$87,0))*고양시_Modal_split!N$3 * 0.01</f>
        <v>0.21356757785220409</v>
      </c>
      <c r="Y88" s="206">
        <f>INDEX($A$87:$H$100,MATCH($L88,$B$87:$B$100,0),MATCH($M$86,$A$87:$H$87,0))*고양시_Modal_split!O$3 * 0.01</f>
        <v>0.38442164013396729</v>
      </c>
      <c r="Z88" s="209">
        <f>INDEX($A$87:$H$100,MATCH($L88,$B$87:$B$100,0),MATCH($M$86,$A$87:$H$87,0))*고양시_Modal_split!P$3 * 0.01</f>
        <v>213.56757785220407</v>
      </c>
      <c r="AA88" s="207">
        <f>INDEX($A$87:$H$100,MATCH($L88,$B$87:$B$100,0),MATCH($AA$86,$A$87:$H$87,0))*고양시_Modal_split!C$3 * 0.01</f>
        <v>4.327770308218037</v>
      </c>
      <c r="AB88" s="207">
        <f>INDEX($A$87:$H$100,MATCH($L88,$B$87:$B$100,0),MATCH($AA$86,$A$87:$H$87,0))*고양시_Modal_split!D$3 * 0.01</f>
        <v>726.91084855533688</v>
      </c>
      <c r="AC88" s="207">
        <f>INDEX($A$87:$H$100,MATCH($L88,$B$87:$B$100,0),MATCH($AA$86,$A$87:$H$87,0))*고양시_Modal_split!E$3 * 0.01</f>
        <v>87.946475192002254</v>
      </c>
      <c r="AD88" s="207">
        <f>INDEX($A$87:$H$100,MATCH($L88,$B$87:$B$100,0),MATCH($AA$86,$A$87:$H$87,0))*고양시_Modal_split!F$3 * 0.01</f>
        <v>141.73447759414074</v>
      </c>
      <c r="AE88" s="207">
        <f>INDEX($A$87:$H$100,MATCH($L88,$B$87:$B$100,0),MATCH($AA$86,$A$87:$H$87,0))*고양시_Modal_split!G$3 * 0.01</f>
        <v>14.219816727002122</v>
      </c>
      <c r="AF88" s="207">
        <f>INDEX($A$87:$H$100,MATCH($L88,$B$87:$B$100,0),MATCH($AA$86,$A$87:$H$87,0))*고양시_Modal_split!H$3 * 0.01</f>
        <v>0.15456322529350133</v>
      </c>
      <c r="AG88" s="207">
        <f>INDEX($A$87:$H$100,MATCH($L88,$B$87:$B$100,0),MATCH($AA$86,$A$87:$H$87,0))*고양시_Modal_split!I$3 * 0.01</f>
        <v>42.968576631593372</v>
      </c>
      <c r="AH88" s="207">
        <f>INDEX($A$87:$H$100,MATCH($L88,$B$87:$B$100,0),MATCH($AA$86,$A$87:$H$87,0))*고양시_Modal_split!J$3 * 0.01</f>
        <v>470.4904577934181</v>
      </c>
      <c r="AI88" s="207">
        <f>INDEX($A$87:$H$100,MATCH($L88,$B$87:$B$100,0),MATCH($AA$86,$A$87:$H$87,0))*고양시_Modal_split!K$3 * 0.01</f>
        <v>2.3184483794025201</v>
      </c>
      <c r="AJ88" s="207">
        <f>INDEX($A$87:$H$100,MATCH($L88,$B$87:$B$100,0),MATCH($AA$86,$A$87:$H$87,0))*고양시_Modal_split!L$3 * 0.01</f>
        <v>46.678094038637411</v>
      </c>
      <c r="AK88" s="207">
        <f>INDEX($A$87:$H$100,MATCH($L88,$B$87:$B$100,0),MATCH($AA$86,$A$87:$H$87,0))*고양시_Modal_split!M$3 * 0.01</f>
        <v>3.5549541817505306</v>
      </c>
      <c r="AL88" s="207">
        <f>INDEX($A$87:$H$100,MATCH($L88,$B$87:$B$100,0),MATCH($AA$86,$A$87:$H$87,0))*고양시_Modal_split!N$3 * 0.01</f>
        <v>1.5456322529350135</v>
      </c>
      <c r="AM88" s="207">
        <f>INDEX($A$87:$H$100,MATCH($L88,$B$87:$B$100,0),MATCH($AA$86,$A$87:$H$87,0))*고양시_Modal_split!O$3 * 0.01</f>
        <v>2.7821380552830242</v>
      </c>
      <c r="AN88" s="207">
        <f>INDEX($A$87:$H$100,MATCH($L88,$B$87:$B$100,0),MATCH($AA$86,$A$87:$H$87,0))*고양시_Modal_split!P$3 * 0.01</f>
        <v>1545.6322529350134</v>
      </c>
      <c r="AO88" s="303">
        <f>INDEX($A$87:$H$100,MATCH($L88,$B$87:$B$100,0),MATCH($AO$86,$A$87:$H$87,0))*고양시_Modal_split!C$3 * 0.01</f>
        <v>0.2482734704514146</v>
      </c>
      <c r="AP88" s="303">
        <f>INDEX($A$87:$H$100,MATCH($L88,$B$87:$B$100,0),MATCH($AO$86,$A$87:$H$87,0))*고양시_Modal_split!D$3 * 0.01</f>
        <v>41.701076126178677</v>
      </c>
      <c r="AQ88" s="303">
        <f>INDEX($A$87:$H$100,MATCH($L88,$B$87:$B$100,0),MATCH($AO$86,$A$87:$H$87,0))*고양시_Modal_split!E$3 * 0.01</f>
        <v>5.0452715959591039</v>
      </c>
      <c r="AR88" s="303">
        <f>INDEX($A$87:$H$100,MATCH($L88,$B$87:$B$100,0),MATCH($AO$86,$A$87:$H$87,0))*고양시_Modal_split!F$3 * 0.01</f>
        <v>8.130956157283828</v>
      </c>
      <c r="AS88" s="303">
        <f>INDEX($A$87:$H$100,MATCH($L88,$B$87:$B$100,0),MATCH($AO$86,$A$87:$H$87,0))*고양시_Modal_split!G$3 * 0.01</f>
        <v>0.81575568862607639</v>
      </c>
      <c r="AT88" s="303">
        <f>INDEX($A$87:$H$100,MATCH($L88,$B$87:$B$100,0),MATCH($AO$86,$A$87:$H$87,0))*고양시_Modal_split!H$3 * 0.01</f>
        <v>8.8669096589790927E-3</v>
      </c>
      <c r="AU88" s="303">
        <f>INDEX($A$87:$H$100,MATCH($L88,$B$87:$B$100,0),MATCH($AO$86,$A$87:$H$87,0))*고양시_Modal_split!I$3 * 0.01</f>
        <v>2.4650008851961873</v>
      </c>
      <c r="AV88" s="303">
        <f>INDEX($A$87:$H$100,MATCH($L88,$B$87:$B$100,0),MATCH($AO$86,$A$87:$H$87,0))*고양시_Modal_split!J$3 * 0.01</f>
        <v>26.990873001932361</v>
      </c>
      <c r="AW88" s="303">
        <f>INDEX($A$87:$H$100,MATCH($L88,$B$87:$B$100,0),MATCH($AO$86,$A$87:$H$87,0))*고양시_Modal_split!K$3 * 0.01</f>
        <v>0.13300364488468638</v>
      </c>
      <c r="AX88" s="303">
        <f>INDEX($A$87:$H$100,MATCH($L88,$B$87:$B$100,0),MATCH($AO$86,$A$87:$H$87,0))*고양시_Modal_split!L$3 * 0.01</f>
        <v>2.6778067170116864</v>
      </c>
      <c r="AY88" s="303">
        <f>INDEX($A$87:$H$100,MATCH($L88,$B$87:$B$100,0),MATCH($AO$86,$A$87:$H$87,0))*고양시_Modal_split!M$3 * 0.01</f>
        <v>0.2039389221565191</v>
      </c>
      <c r="AZ88" s="303">
        <f>INDEX($A$87:$H$100,MATCH($L88,$B$87:$B$100,0),MATCH($AO$86,$A$87:$H$87,0))*고양시_Modal_split!N$3 * 0.01</f>
        <v>8.8669096589790927E-2</v>
      </c>
      <c r="BA88" s="207">
        <f>INDEX($A$87:$H$100,MATCH($L88,$B$87:$B$100,0),MATCH($AO$86,$A$87:$H$87,0))*고양시_Modal_split!O$3 * 0.01</f>
        <v>0.15960437386162368</v>
      </c>
      <c r="BB88" s="207">
        <f>INDEX($A$87:$H$100,MATCH($L88,$B$87:$B$100,0),MATCH($AO$86,$A$87:$H$87,0))*고양시_Modal_split!P$3 * 0.01</f>
        <v>88.669096589790939</v>
      </c>
      <c r="BC88" s="207">
        <f>INDEX($A$87:$H$100,MATCH($L88,$B$87:$B$100,0),MATCH($BC$86,$A$87:$H$87,0))*고양시_Modal_split!C$3 * 0.01</f>
        <v>3.9016260416670836E-4</v>
      </c>
      <c r="BD88" s="207">
        <f>INDEX($A$87:$H$100,MATCH($L88,$B$87:$B$100,0),MATCH($BC$86,$A$87:$H$87,0))*고양시_Modal_split!D$3 * 0.01</f>
        <v>6.5533383121286773E-2</v>
      </c>
      <c r="BE88" s="207">
        <f>INDEX($A$87:$H$100,MATCH($L88,$B$87:$B$100,0),MATCH($BC$86,$A$87:$H$87,0))*고양시_Modal_split!E$3 * 0.01</f>
        <v>7.9286614918163238E-3</v>
      </c>
      <c r="BF88" s="207">
        <f>INDEX($A$87:$H$100,MATCH($L88,$B$87:$B$100,0),MATCH($BC$86,$A$87:$H$87,0))*고양시_Modal_split!F$3 * 0.01</f>
        <v>1.2777825286459699E-2</v>
      </c>
      <c r="BG88" s="207">
        <f>INDEX($A$87:$H$100,MATCH($L88,$B$87:$B$100,0),MATCH($BC$86,$A$87:$H$87,0))*고양시_Modal_split!G$3 * 0.01</f>
        <v>1.2819628422620416E-3</v>
      </c>
      <c r="BH88" s="207">
        <f>INDEX($A$87:$H$100,MATCH($L88,$B$87:$B$100,0),MATCH($BC$86,$A$87:$H$87,0))*고양시_Modal_split!H$3 * 0.01</f>
        <v>1.3934378720239584E-5</v>
      </c>
      <c r="BI88" s="207">
        <f>INDEX($A$87:$H$100,MATCH($L88,$B$87:$B$100,0),MATCH($BC$86,$A$87:$H$87,0))*고양시_Modal_split!I$3 * 0.01</f>
        <v>3.8737572842266043E-3</v>
      </c>
      <c r="BJ88" s="207">
        <f>INDEX($A$87:$H$100,MATCH($L88,$B$87:$B$100,0),MATCH($BC$86,$A$87:$H$87,0))*고양시_Modal_split!J$3 * 0.01</f>
        <v>4.2416248824409301E-2</v>
      </c>
      <c r="BK88" s="207">
        <f>INDEX($A$87:$H$100,MATCH($L88,$B$87:$B$100,0),MATCH($BC$86,$A$87:$H$87,0))*고양시_Modal_split!K$3 * 0.01</f>
        <v>2.0901568080359379E-4</v>
      </c>
      <c r="BL88" s="207">
        <f>INDEX($A$87:$H$100,MATCH($L88,$B$87:$B$100,0),MATCH($BC$86,$A$87:$H$87,0))*고양시_Modal_split!L$3 * 0.01</f>
        <v>4.2081823735123551E-3</v>
      </c>
      <c r="BM88" s="207">
        <f>INDEX($A$87:$H$100,MATCH($L88,$B$87:$B$100,0),MATCH($BC$86,$A$87:$H$87,0))*고양시_Modal_split!M$3 * 0.01</f>
        <v>3.2049071056551039E-4</v>
      </c>
      <c r="BN88" s="207">
        <f>INDEX($A$87:$H$100,MATCH($L88,$B$87:$B$100,0),MATCH($BC$86,$A$87:$H$87,0))*고양시_Modal_split!N$3 * 0.01</f>
        <v>1.3934378720239585E-4</v>
      </c>
      <c r="BO88" s="207">
        <f>INDEX($A$87:$H$100,MATCH($L88,$B$87:$B$100,0),MATCH($BC$86,$A$87:$H$87,0))*고양시_Modal_split!O$3 * 0.01</f>
        <v>2.5081881696431248E-4</v>
      </c>
      <c r="BP88" s="207">
        <f>INDEX($A$87:$H$100,MATCH($L88,$B$87:$B$100,0),MATCH($BC$86,$A$87:$H$87,0))*고양시_Modal_split!P$3 * 0.01</f>
        <v>0.13934378720239585</v>
      </c>
      <c r="BQ88" s="207">
        <f>INDEX($A$87:$H$100,MATCH($L88,$B$87:$B$100,0),MATCH($BQ$86,$A$87:$H$87,0))*고양시_Modal_split!C$3 * 0.01</f>
        <v>1.4739476157408931E-3</v>
      </c>
      <c r="BR88" s="207">
        <f>INDEX($A$87:$H$100,MATCH($L88,$B$87:$B$100,0),MATCH($BQ$86,$A$87:$H$87,0))*고양시_Modal_split!D$3 * 0.01</f>
        <v>0.24757055845819362</v>
      </c>
      <c r="BS88" s="207">
        <f>INDEX($A$87:$H$100,MATCH($L88,$B$87:$B$100,0),MATCH($BQ$86,$A$87:$H$87,0))*고양시_Modal_split!E$3 * 0.01</f>
        <v>2.9952721191306011E-2</v>
      </c>
      <c r="BT88" s="207">
        <f>INDEX($A$87:$H$100,MATCH($L88,$B$87:$B$100,0),MATCH($BQ$86,$A$87:$H$87,0))*고양시_Modal_split!F$3 * 0.01</f>
        <v>4.827178441551426E-2</v>
      </c>
      <c r="BU88" s="207">
        <f>INDEX($A$87:$H$100,MATCH($L88,$B$87:$B$100,0),MATCH($BQ$86,$A$87:$H$87,0))*고양시_Modal_split!G$3 * 0.01</f>
        <v>4.8429707374343638E-3</v>
      </c>
      <c r="BV88" s="207">
        <f>INDEX($A$87:$H$100,MATCH($L88,$B$87:$B$100,0),MATCH($BQ$86,$A$87:$H$87,0))*고양시_Modal_split!H$3 * 0.01</f>
        <v>5.2640986276460483E-5</v>
      </c>
      <c r="BW88" s="207">
        <f>INDEX($A$87:$H$100,MATCH($L88,$B$87:$B$100,0),MATCH($BQ$86,$A$87:$H$87,0))*고양시_Modal_split!I$3 * 0.01</f>
        <v>1.463419418485601E-2</v>
      </c>
      <c r="BX88" s="207">
        <f>INDEX($A$87:$H$100,MATCH($L88,$B$87:$B$100,0),MATCH($BQ$86,$A$87:$H$87,0))*고양시_Modal_split!J$3 * 0.01</f>
        <v>0.16023916222554568</v>
      </c>
      <c r="BY88" s="207">
        <f>INDEX($A$87:$H$100,MATCH($L88,$B$87:$B$100,0),MATCH($BQ$86,$A$87:$H$87,0))*고양시_Modal_split!K$3 * 0.01</f>
        <v>7.896147941469072E-4</v>
      </c>
      <c r="BZ88" s="207">
        <f>INDEX($A$87:$H$100,MATCH($L88,$B$87:$B$100,0),MATCH($BQ$86,$A$87:$H$87,0))*고양시_Modal_split!L$3 * 0.01</f>
        <v>1.5897577855491066E-2</v>
      </c>
      <c r="CA88" s="207">
        <f>INDEX($A$87:$H$100,MATCH($L88,$B$87:$B$100,0),MATCH($BQ$86,$A$87:$H$87,0))*고양시_Modal_split!M$3 * 0.01</f>
        <v>1.210742684358591E-3</v>
      </c>
      <c r="CB88" s="207">
        <f>INDEX($A$87:$H$100,MATCH($L88,$B$87:$B$100,0),MATCH($BQ$86,$A$87:$H$87,0))*고양시_Modal_split!N$3 * 0.01</f>
        <v>5.264098627646048E-4</v>
      </c>
      <c r="CC88" s="207">
        <f>INDEX($A$87:$H$100,MATCH($L88,$B$87:$B$100,0),MATCH($BQ$86,$A$87:$H$87,0))*고양시_Modal_split!O$3 * 0.01</f>
        <v>9.4753775297628856E-4</v>
      </c>
      <c r="CD88" s="207">
        <f>INDEX($A$87:$H$100,MATCH($L88,$B$87:$B$100,0),MATCH($BQ$86,$A$87:$H$87,0))*고양시_Modal_split!P$3 * 0.01</f>
        <v>0.52640986276460477</v>
      </c>
      <c r="CE88" s="304">
        <f>M88+AA88+AO88+BC88+BQ88</f>
        <v>5.1758971068755315</v>
      </c>
      <c r="CF88" s="304">
        <f t="shared" ref="CF88:CF100" si="51">N88+AB88+AP88+BD88+BR88</f>
        <v>869.36586048698666</v>
      </c>
      <c r="CG88" s="304">
        <f t="shared" ref="CG88:CG100" si="52">O88+AC88+AQ88+BE88+BS88</f>
        <v>105.1816233504349</v>
      </c>
      <c r="CH88" s="304">
        <f t="shared" ref="CH88:CH100" si="53">P88+AD88+AR88+BF88+BT88</f>
        <v>169.51063025017365</v>
      </c>
      <c r="CI88" s="304">
        <f t="shared" ref="CI88:CI100" si="54">Q88+AE88+AS88+BG88+BU88</f>
        <v>17.006519065448174</v>
      </c>
      <c r="CJ88" s="304">
        <f t="shared" ref="CJ88:CJ100" si="55">R88+AF88+AT88+BH88+BV88</f>
        <v>0.18485346810269757</v>
      </c>
      <c r="CK88" s="304">
        <f t="shared" ref="CK88:CK100" si="56">S88+AG88+AU88+BI88+BW88</f>
        <v>51.389264132549918</v>
      </c>
      <c r="CL88" s="304">
        <f t="shared" ref="CL88:CL100" si="57">T88+AH88+AV88+BJ88+BX88</f>
        <v>562.69395690461147</v>
      </c>
      <c r="CM88" s="304">
        <f t="shared" ref="CM88:CM100" si="58">U88+AI88+AW88+BK88+BY88</f>
        <v>2.7728020215404632</v>
      </c>
      <c r="CN88" s="304">
        <f t="shared" ref="CN88:CN100" si="59">V88+AJ88+AX88+BL88+BZ88</f>
        <v>55.825747367014657</v>
      </c>
      <c r="CO88" s="304">
        <f t="shared" ref="CO88:CO100" si="60">W88+AK88+AY88+BM88+CA88</f>
        <v>4.2516297663620435</v>
      </c>
      <c r="CP88" s="304">
        <f t="shared" ref="CP88:CP100" si="61">X88+AL88+AZ88+BN88+CB88</f>
        <v>1.8485346810269756</v>
      </c>
      <c r="CQ88" s="304">
        <f t="shared" ref="CQ88:CQ100" si="62">Y88+AM88+BA88+BO88+CC88</f>
        <v>3.3273624258485559</v>
      </c>
      <c r="CR88" s="304">
        <f t="shared" ref="CR88:CR100" si="63">Z88+AN88+BB88+BP88+CD88</f>
        <v>1848.5346810269757</v>
      </c>
      <c r="CS88" s="305">
        <f>H88-CR88</f>
        <v>0</v>
      </c>
      <c r="CV88" s="265" t="s">
        <v>605</v>
      </c>
      <c r="CW88" s="265" t="s">
        <v>606</v>
      </c>
      <c r="CX88" s="267">
        <f>INDEX($M$86:$Z$100,MATCH($CW88,$L$86:$L$100,0),MATCH(CX$87,$M$87:$Z$87,0))/INDEX(고양시_재차인원!$D$4:$H$35,MATCH("고양시",고양시_재차인원!$B$4:$B$35,0),MATCH($CX$86,고양시_재차인원!$D$4:$H$4,0))</f>
        <v>89.679314164188909</v>
      </c>
      <c r="CY88" s="267">
        <f>INDEX($M$86:$Z$100,MATCH($CW88,$L$86:$L$100,0),MATCH(CY$87,$M$87:$Z$87,0))/INDEX(고양시_재차인원!$K$4:$O$20,MATCH("경기도",고양시_재차인원!$K$4:$K$20,0),MATCH($CY$87,고양시_재차인원!$K$4:$O$4,0))</f>
        <v>7.4181166325878458E-4</v>
      </c>
      <c r="CZ88" s="267">
        <f>INDEX($M$86:$Z$100,MATCH($CW88,$L$86:$L$100,0),MATCH(CZ$87,$M$87:$Z$87,0))/INDEX(고양시_재차인원!$K$4:$O$20,MATCH("경기도",고양시_재차인원!$K$4:$K$20,0),MATCH($CZ$87,고양시_재차인원!$K$4:$O$4,0))</f>
        <v>0.2062236423859421</v>
      </c>
      <c r="DA88" s="267">
        <f>INDEX($M$86:$Z$100,MATCH($CW88,$L$86:$L$100,0),MATCH(DA$87,$M$87:$Z$87,0))/INDEX(고양시_재차인원!$D$4:$H$35,MATCH("고양시",고양시_재차인원!$B$4:$B$35,0),MATCH($CX$86,고양시_재차인원!$D$4:$H$4,0))</f>
        <v>5.7586971885147884</v>
      </c>
      <c r="DB88" s="267">
        <f>INDEX($AA$86:$AN$100,MATCH($CW88,$L$86:$L$100,0),MATCH(DB$87,$AA$87:$AN$87,0))/INDEX(고양시_재차인원!$D$4:$H$35,MATCH("고양시",고양시_재차인원!$B$4:$B$35,0),MATCH($DB$86,고양시_재차인원!$D$4:$H$4,0))</f>
        <v>515.53960890449423</v>
      </c>
      <c r="DC88" s="267">
        <f>INDEX($AA$86:$AN$100,MATCH($CW88,$L$86:$L$100,0),MATCH(DC$87,$AA$87:$AN$87,0))/INDEX(고양시_재차인원!$K$4:$O$20,MATCH("경기도",고양시_재차인원!$K$4:$K$20,0),MATCH(DC$87,고양시_재차인원!$K$4:$O$4,0))</f>
        <v>5.3686427680966079E-3</v>
      </c>
      <c r="DD88" s="267">
        <f>INDEX($AA$86:$AN$100,MATCH($CW88,$L$86:$L$100,0),MATCH(DD$87,$AA$87:$AN$87,0))/INDEX(고양시_재차인원!$K$4:$O$20,MATCH("경기도",고양시_재차인원!$K$4:$K$20,0),MATCH(DD$87,고양시_재차인원!$K$4:$O$4,0))</f>
        <v>1.4924826895308569</v>
      </c>
      <c r="DE88" s="267">
        <f>INDEX($AA$86:$AN$100,MATCH($CW88,$L$86:$L$100,0),MATCH(DE$87,$AA$87:$AN$87,0))/INDEX(고양시_재차인원!$D$4:$H$35,MATCH("고양시",고양시_재차인원!$B$4:$B$35,0),MATCH($DB$86,고양시_재차인원!$D$4:$H$4,0))</f>
        <v>33.105031233076183</v>
      </c>
      <c r="DF88" s="267">
        <f>INDEX($AO$86:$BB$100,MATCH($CW88,$L$86:$L$100,0),MATCH(DF$87,$AO$87:$BB$87,0))/INDEX(고양시_재차인원!$D$4:$H$35,MATCH("고양시",고양시_재차인원!$B$4:$B$35,0),MATCH($DF$86,고양시_재차인원!$D$4:$H$4,0))</f>
        <v>32.077750866291289</v>
      </c>
      <c r="DG88" s="267">
        <f>INDEX($AO$86:$BB$100,MATCH($CW88,$L$86:$L$100,0),MATCH(DG$87,$AO$87:$BB$87,0))/INDEX(고양시_재차인원!$K$4:$O$20,MATCH("경기도",고양시_재차인원!$K$4:$K$20,0),MATCH(DG$87,고양시_재차인원!$K$4:$O$4,0))</f>
        <v>3.0798574709896119E-4</v>
      </c>
      <c r="DH88" s="267">
        <f>INDEX($AO$86:$BB$100,MATCH($CW88,$L$86:$L$100,0),MATCH(DH$87,$AO$87:$BB$87,0))/INDEX(고양시_재차인원!$K$4:$O$20,MATCH("경기도",고양시_재차인원!$K$4:$K$20,0),MATCH(DH$87,고양시_재차인원!$K$4:$O$4,0))</f>
        <v>8.5620037693511203E-2</v>
      </c>
      <c r="DI88" s="267">
        <f>INDEX($AO$86:$BB$100,MATCH($CW88,$L$86:$L$100,0),MATCH(DI$87,$AO$87:$BB$87,0))/INDEX(고양시_재차인원!$D$4:$H$35,MATCH("고양시",고양시_재차인원!$B$4:$B$35,0),MATCH($DF$86,고양시_재차인원!$D$4:$H$4,0))</f>
        <v>2.0598513207782201</v>
      </c>
      <c r="DJ88" s="267">
        <f>INDEX($BC$86:$BP$100,MATCH($CW88,$L$86:$L$100,0),MATCH(DJ$87,$BC$87:$BP$87,0))/INDEX(고양시_재차인원!$D$4:$H$35,MATCH("고양시",고양시_재차인원!$B$4:$B$35,0),MATCH($DJ$86,고양시_재차인원!$D$4:$H$4,0))</f>
        <v>4.8186311118593214E-2</v>
      </c>
      <c r="DK88" s="267">
        <f>INDEX($BC$86:$BP$100,MATCH($CW88,$L$86:$L$100,0),MATCH(DK$87,$BC$87:$BP$87,0))/INDEX(고양시_재차인원!$K$4:$O$20,MATCH("경기도",고양시_재차인원!$K$4:$K$20,0),MATCH(DK$87,고양시_재차인원!$K$4:$O$4,0))</f>
        <v>4.8400065023409468E-7</v>
      </c>
      <c r="DL88" s="267">
        <f>INDEX($BC$86:$BP$100,MATCH($CW88,$L$86:$L$100,0),MATCH(DL$87,$BC$87:$BP$87,0))/INDEX(고양시_재차인원!$K$4:$O$20,MATCH("경기도",고양시_재차인원!$K$4:$K$20,0),MATCH(DL$87,고양시_재차인원!$K$4:$O$4,0))</f>
        <v>1.345521807650783E-4</v>
      </c>
      <c r="DM88" s="267">
        <f>INDEX($BC$86:$BP$100,MATCH($CW88,$L$86:$L$100,0),MATCH(DM$87,$BC$87:$BP$87,0))/INDEX(고양시_재차인원!$D$4:$H$35,MATCH("고양시",고양시_재차인원!$B$4:$B$35,0),MATCH($DJ$86,고양시_재차인원!$D$4:$H$4,0))</f>
        <v>3.0942517452296728E-3</v>
      </c>
      <c r="DN88" s="267">
        <f>INDEX($BQ$86:$CD$100,MATCH($CW88,$L$86:$L$100,0),MATCH(DN$87,$BQ$87:$CD$87,0))/INDEX(고양시_재차인원!$D$4:$H$35,MATCH("고양시",고양시_재차인원!$B$4:$B$35,0),MATCH($DN$86,고양시_재차인원!$D$4:$H$4,0))</f>
        <v>0.19648457020491558</v>
      </c>
      <c r="DO88" s="267">
        <f>INDEX($BQ$86:$CD$100,MATCH($CW88,$L$86:$L$100,0),MATCH(DO$87,$BQ$87:$CD$87,0))/INDEX(고양시_재차인원!$K$4:$O$20,MATCH("경기도",고양시_재차인원!$K$4:$K$20,0),MATCH(DO$87,고양시_재차인원!$K$4:$O$4,0))</f>
        <v>1.8284469008843518E-6</v>
      </c>
      <c r="DP88" s="267">
        <f>INDEX($BQ$86:$CD$100,MATCH($CW88,$L$86:$L$100,0),MATCH(DP$87,$BQ$87:$CD$87,0))/INDEX(고양시_재차인원!$K$4:$O$20,MATCH("경기도",고양시_재차인원!$K$4:$K$20,0),MATCH(DP$87,고양시_재차인원!$K$4:$O$4,0))</f>
        <v>5.0830823844584961E-4</v>
      </c>
      <c r="DQ88" s="267">
        <f>INDEX($BQ$86:$CD$100,MATCH($CW88,$L$86:$L$100,0),MATCH(DQ$87,$BQ$87:$CD$87,0))/INDEX(고양시_재차인원!$D$4:$H$35,MATCH("고양시",고양시_재차인원!$B$4:$B$35,0),MATCH($DN$86,고양시_재차인원!$D$4:$H$4,0))</f>
        <v>1.2617125282135768E-2</v>
      </c>
      <c r="DR88" s="270">
        <f>CX88+DB88+DF88+DJ88+DN88</f>
        <v>637.54134481629785</v>
      </c>
      <c r="DS88" s="270">
        <f t="shared" ref="DS88:DS100" si="64">CY88+DC88+DG88+DK88+DO88</f>
        <v>6.4207526260054723E-3</v>
      </c>
      <c r="DT88" s="270">
        <f t="shared" ref="DT88:DT100" si="65">CZ88+DD88+DH88+DL88+DP88</f>
        <v>1.784969230029521</v>
      </c>
      <c r="DU88" s="270">
        <f t="shared" ref="DU88:DU100" si="66">DA88+DE88+DI88+DM88+DQ88</f>
        <v>40.939291119396557</v>
      </c>
      <c r="DW88" s="278" t="s">
        <v>605</v>
      </c>
      <c r="DX88" s="278" t="s">
        <v>606</v>
      </c>
      <c r="DY88" s="281">
        <f>DR88+DU88</f>
        <v>678.48063593569441</v>
      </c>
      <c r="DZ88" s="281">
        <f>DS88+DT88</f>
        <v>1.7913899826555264</v>
      </c>
      <c r="EB88" s="278" t="s">
        <v>636</v>
      </c>
      <c r="EC88" s="278" t="s">
        <v>606</v>
      </c>
      <c r="ED88" s="309">
        <f>DY88+DY$94*($EN90/SUM($EN$90:$EN$93))</f>
        <v>796.79396885159542</v>
      </c>
      <c r="EE88" s="309">
        <f t="shared" ref="EE88:EE91" si="67">DZ88+DZ$94*($EN90/SUM($EN$90:$EN$93))</f>
        <v>2.1037722499959037</v>
      </c>
      <c r="EF88" t="b">
        <f>SUM(ED88:EE91) = SUM(DY88:DZ91)+DY94+DZ94</f>
        <v>1</v>
      </c>
      <c r="EK88" s="420" t="s">
        <v>12</v>
      </c>
      <c r="EL88" s="420" t="s">
        <v>12</v>
      </c>
      <c r="EM88" s="420" t="s">
        <v>567</v>
      </c>
      <c r="EN88" s="420">
        <v>14267.0414</v>
      </c>
      <c r="EO88" s="420">
        <v>0.4735987268619668</v>
      </c>
      <c r="EP88" s="421">
        <v>849001</v>
      </c>
      <c r="EQ88" s="422">
        <f>VLOOKUP($EL88,$EC$88:$EE$99,2,FALSE)*$EO88 * $CW$9*(1-$DA$5)</f>
        <v>32.150987154463486</v>
      </c>
      <c r="ER88" s="422">
        <f>VLOOKUP($EL88,$EC$88:$EE$99,3,FALSE)*$EO88* $CW$9*(1-$DA$5)</f>
        <v>8.4888135741063631E-2</v>
      </c>
      <c r="ES88">
        <v>0</v>
      </c>
      <c r="EU88" s="306" t="s">
        <v>12</v>
      </c>
      <c r="EV88" s="306" t="s">
        <v>12</v>
      </c>
      <c r="EW88" s="306" t="s">
        <v>567</v>
      </c>
      <c r="EX88" s="306">
        <v>14267.0414</v>
      </c>
      <c r="EY88" s="306">
        <v>0.4735987268619668</v>
      </c>
      <c r="EZ88" s="307">
        <v>849001</v>
      </c>
      <c r="FA88" s="308">
        <f>EQ88*$EG$55</f>
        <v>32.150987154463486</v>
      </c>
      <c r="FB88" s="308">
        <f t="shared" ref="FB88:FB107" si="68">ER88*$EG$55</f>
        <v>8.4888135741063631E-2</v>
      </c>
      <c r="FD88" s="101"/>
      <c r="FE88" s="101"/>
      <c r="FF88" s="101"/>
      <c r="FG88" s="101"/>
      <c r="FH88" s="101"/>
      <c r="FI88" s="374"/>
      <c r="FJ88" s="404"/>
      <c r="FK88" s="404"/>
    </row>
    <row r="89" spans="1:167">
      <c r="A89" s="205" t="s">
        <v>605</v>
      </c>
      <c r="B89" s="205" t="s">
        <v>607</v>
      </c>
      <c r="C89" s="201">
        <f>$K30*KTDB_TripDistribution_2040!T$12</f>
        <v>212.29888049228393</v>
      </c>
      <c r="D89" s="201">
        <f>$K30*KTDB_TripDistribution_2040!U$12</f>
        <v>1536.4504305890059</v>
      </c>
      <c r="E89" s="201">
        <f>$K30*KTDB_TripDistribution_2040!V$12</f>
        <v>88.142358168719255</v>
      </c>
      <c r="F89" s="201">
        <f>$K30*KTDB_TripDistribution_2040!W$12</f>
        <v>0.13851601598017738</v>
      </c>
      <c r="G89" s="201">
        <f>$K30*KTDB_TripDistribution_2040!X$12</f>
        <v>0.52328272703622392</v>
      </c>
      <c r="H89" s="201">
        <f>$K30*KTDB_TripDistribution_2040!Y$12</f>
        <v>1837.5534679930258</v>
      </c>
      <c r="J89" s="230">
        <f t="shared" si="50"/>
        <v>1837.5534679930256</v>
      </c>
      <c r="K89" s="206" t="s">
        <v>605</v>
      </c>
      <c r="L89" s="206" t="s">
        <v>607</v>
      </c>
      <c r="M89" s="206">
        <f>INDEX($A$87:$H$100,MATCH($L89,$B$87:$B$100,0),MATCH($M$86,$A$87:$H$87,0))*고양시_Modal_split!C$3 * 0.01</f>
        <v>0.59443686537839502</v>
      </c>
      <c r="N89" s="206">
        <f>INDEX($A$87:$H$100,MATCH($L89,$B$87:$B$100,0),MATCH($M$86,$A$87:$H$87,0))*고양시_Modal_split!D$3 * 0.01</f>
        <v>99.84416349552113</v>
      </c>
      <c r="O89" s="206">
        <f>INDEX($A$87:$H$100,MATCH($L89,$B$87:$B$100,0),MATCH($M$86,$A$87:$H$87,0))*고양시_Modal_split!E$3 * 0.01</f>
        <v>12.079806300010956</v>
      </c>
      <c r="P89" s="206">
        <f>INDEX($A$87:$H$100,MATCH($L89,$B$87:$B$100,0),MATCH($M$86,$A$87:$H$87,0))*고양시_Modal_split!F$3 * 0.01</f>
        <v>19.467807341142436</v>
      </c>
      <c r="Q89" s="206">
        <f>INDEX($A$87:$H$100,MATCH($L89,$B$87:$B$100,0),MATCH($M$86,$A$87:$H$87,0))*고양시_Modal_split!G$3 * 0.01</f>
        <v>1.9531497005290122</v>
      </c>
      <c r="R89" s="206">
        <f>INDEX($A$87:$H$100,MATCH($L89,$B$87:$B$100,0),MATCH($M$86,$A$87:$H$87,0))*고양시_Modal_split!H$3 * 0.01</f>
        <v>2.1229888049228395E-2</v>
      </c>
      <c r="S89" s="206">
        <f>INDEX($A$87:$H$100,MATCH($L89,$B$87:$B$100,0),MATCH($M$86,$A$87:$H$87,0))*고양시_Modal_split!I$3 * 0.01</f>
        <v>5.9019088776854929</v>
      </c>
      <c r="T89" s="206">
        <f>INDEX($A$87:$H$100,MATCH($L89,$B$87:$B$100,0),MATCH($M$86,$A$87:$H$87,0))*고양시_Modal_split!J$3 * 0.01</f>
        <v>64.623779221851223</v>
      </c>
      <c r="U89" s="206">
        <f>INDEX($A$87:$H$100,MATCH($L89,$B$87:$B$100,0),MATCH($M$86,$A$87:$H$87,0))*고양시_Modal_split!K$3 * 0.01</f>
        <v>0.31844832073842588</v>
      </c>
      <c r="V89" s="206">
        <f>INDEX($A$87:$H$100,MATCH($L89,$B$87:$B$100,0),MATCH($M$86,$A$87:$H$87,0))*고양시_Modal_split!L$3 * 0.01</f>
        <v>6.4114261908669743</v>
      </c>
      <c r="W89" s="206">
        <f>INDEX($A$87:$H$100,MATCH($L89,$B$87:$B$100,0),MATCH($M$86,$A$87:$H$87,0))*고양시_Modal_split!M$3 * 0.01</f>
        <v>0.48828742513225304</v>
      </c>
      <c r="X89" s="206">
        <f>INDEX($A$87:$H$100,MATCH($L89,$B$87:$B$100,0),MATCH($M$86,$A$87:$H$87,0))*고양시_Modal_split!N$3 * 0.01</f>
        <v>0.21229888049228393</v>
      </c>
      <c r="Y89" s="206">
        <f>INDEX($A$87:$H$100,MATCH($L89,$B$87:$B$100,0),MATCH($M$86,$A$87:$H$87,0))*고양시_Modal_split!O$3 * 0.01</f>
        <v>0.38213798488611106</v>
      </c>
      <c r="Z89" s="209">
        <f>INDEX($A$87:$H$100,MATCH($L89,$B$87:$B$100,0),MATCH($M$86,$A$87:$H$87,0))*고양시_Modal_split!P$3 * 0.01</f>
        <v>212.29888049228393</v>
      </c>
      <c r="AA89" s="207">
        <f>INDEX($A$87:$H$100,MATCH($L89,$B$87:$B$100,0),MATCH($AA$86,$A$87:$H$87,0))*고양시_Modal_split!C$3 * 0.01</f>
        <v>4.302061205649216</v>
      </c>
      <c r="AB89" s="207">
        <f>INDEX($A$87:$H$100,MATCH($L89,$B$87:$B$100,0),MATCH($AA$86,$A$87:$H$87,0))*고양시_Modal_split!D$3 * 0.01</f>
        <v>722.59263750600951</v>
      </c>
      <c r="AC89" s="207">
        <f>INDEX($A$87:$H$100,MATCH($L89,$B$87:$B$100,0),MATCH($AA$86,$A$87:$H$87,0))*고양시_Modal_split!E$3 * 0.01</f>
        <v>87.424029500514422</v>
      </c>
      <c r="AD89" s="207">
        <f>INDEX($A$87:$H$100,MATCH($L89,$B$87:$B$100,0),MATCH($AA$86,$A$87:$H$87,0))*고양시_Modal_split!F$3 * 0.01</f>
        <v>140.89250448501184</v>
      </c>
      <c r="AE89" s="207">
        <f>INDEX($A$87:$H$100,MATCH($L89,$B$87:$B$100,0),MATCH($AA$86,$A$87:$H$87,0))*고양시_Modal_split!G$3 * 0.01</f>
        <v>14.135343961418853</v>
      </c>
      <c r="AF89" s="207">
        <f>INDEX($A$87:$H$100,MATCH($L89,$B$87:$B$100,0),MATCH($AA$86,$A$87:$H$87,0))*고양시_Modal_split!H$3 * 0.01</f>
        <v>0.15364504305890062</v>
      </c>
      <c r="AG89" s="207">
        <f>INDEX($A$87:$H$100,MATCH($L89,$B$87:$B$100,0),MATCH($AA$86,$A$87:$H$87,0))*고양시_Modal_split!I$3 * 0.01</f>
        <v>42.713321970374366</v>
      </c>
      <c r="AH89" s="207">
        <f>INDEX($A$87:$H$100,MATCH($L89,$B$87:$B$100,0),MATCH($AA$86,$A$87:$H$87,0))*고양시_Modal_split!J$3 * 0.01</f>
        <v>467.69551107129342</v>
      </c>
      <c r="AI89" s="207">
        <f>INDEX($A$87:$H$100,MATCH($L89,$B$87:$B$100,0),MATCH($AA$86,$A$87:$H$87,0))*고양시_Modal_split!K$3 * 0.01</f>
        <v>2.3046756458835089</v>
      </c>
      <c r="AJ89" s="207">
        <f>INDEX($A$87:$H$100,MATCH($L89,$B$87:$B$100,0),MATCH($AA$86,$A$87:$H$87,0))*고양시_Modal_split!L$3 * 0.01</f>
        <v>46.400803003787978</v>
      </c>
      <c r="AK89" s="207">
        <f>INDEX($A$87:$H$100,MATCH($L89,$B$87:$B$100,0),MATCH($AA$86,$A$87:$H$87,0))*고양시_Modal_split!M$3 * 0.01</f>
        <v>3.5338359903547132</v>
      </c>
      <c r="AL89" s="207">
        <f>INDEX($A$87:$H$100,MATCH($L89,$B$87:$B$100,0),MATCH($AA$86,$A$87:$H$87,0))*고양시_Modal_split!N$3 * 0.01</f>
        <v>1.5364504305890061</v>
      </c>
      <c r="AM89" s="207">
        <f>INDEX($A$87:$H$100,MATCH($L89,$B$87:$B$100,0),MATCH($AA$86,$A$87:$H$87,0))*고양시_Modal_split!O$3 * 0.01</f>
        <v>2.7656107750602104</v>
      </c>
      <c r="AN89" s="207">
        <f>INDEX($A$87:$H$100,MATCH($L89,$B$87:$B$100,0),MATCH($AA$86,$A$87:$H$87,0))*고양시_Modal_split!P$3 * 0.01</f>
        <v>1536.4504305890059</v>
      </c>
      <c r="AO89" s="303">
        <f>INDEX($A$87:$H$100,MATCH($L89,$B$87:$B$100,0),MATCH($AO$86,$A$87:$H$87,0))*고양시_Modal_split!C$3 * 0.01</f>
        <v>0.2467986028724139</v>
      </c>
      <c r="AP89" s="303">
        <f>INDEX($A$87:$H$100,MATCH($L89,$B$87:$B$100,0),MATCH($AO$86,$A$87:$H$87,0))*고양시_Modal_split!D$3 * 0.01</f>
        <v>41.453351046748665</v>
      </c>
      <c r="AQ89" s="303">
        <f>INDEX($A$87:$H$100,MATCH($L89,$B$87:$B$100,0),MATCH($AO$86,$A$87:$H$87,0))*고양시_Modal_split!E$3 * 0.01</f>
        <v>5.0153001798001258</v>
      </c>
      <c r="AR89" s="303">
        <f>INDEX($A$87:$H$100,MATCH($L89,$B$87:$B$100,0),MATCH($AO$86,$A$87:$H$87,0))*고양시_Modal_split!F$3 * 0.01</f>
        <v>8.0826542440715556</v>
      </c>
      <c r="AS89" s="303">
        <f>INDEX($A$87:$H$100,MATCH($L89,$B$87:$B$100,0),MATCH($AO$86,$A$87:$H$87,0))*고양시_Modal_split!G$3 * 0.01</f>
        <v>0.81090969515221722</v>
      </c>
      <c r="AT89" s="303">
        <f>INDEX($A$87:$H$100,MATCH($L89,$B$87:$B$100,0),MATCH($AO$86,$A$87:$H$87,0))*고양시_Modal_split!H$3 * 0.01</f>
        <v>8.8142358168719261E-3</v>
      </c>
      <c r="AU89" s="303">
        <f>INDEX($A$87:$H$100,MATCH($L89,$B$87:$B$100,0),MATCH($AO$86,$A$87:$H$87,0))*고양시_Modal_split!I$3 * 0.01</f>
        <v>2.450357557090395</v>
      </c>
      <c r="AV89" s="303">
        <f>INDEX($A$87:$H$100,MATCH($L89,$B$87:$B$100,0),MATCH($AO$86,$A$87:$H$87,0))*고양시_Modal_split!J$3 * 0.01</f>
        <v>26.830533826558145</v>
      </c>
      <c r="AW89" s="303">
        <f>INDEX($A$87:$H$100,MATCH($L89,$B$87:$B$100,0),MATCH($AO$86,$A$87:$H$87,0))*고양시_Modal_split!K$3 * 0.01</f>
        <v>0.13221353725307888</v>
      </c>
      <c r="AX89" s="303">
        <f>INDEX($A$87:$H$100,MATCH($L89,$B$87:$B$100,0),MATCH($AO$86,$A$87:$H$87,0))*고양시_Modal_split!L$3 * 0.01</f>
        <v>2.6618992166953217</v>
      </c>
      <c r="AY89" s="303">
        <f>INDEX($A$87:$H$100,MATCH($L89,$B$87:$B$100,0),MATCH($AO$86,$A$87:$H$87,0))*고양시_Modal_split!M$3 * 0.01</f>
        <v>0.20272742378805431</v>
      </c>
      <c r="AZ89" s="303">
        <f>INDEX($A$87:$H$100,MATCH($L89,$B$87:$B$100,0),MATCH($AO$86,$A$87:$H$87,0))*고양시_Modal_split!N$3 * 0.01</f>
        <v>8.8142358168719265E-2</v>
      </c>
      <c r="BA89" s="207">
        <f>INDEX($A$87:$H$100,MATCH($L89,$B$87:$B$100,0),MATCH($AO$86,$A$87:$H$87,0))*고양시_Modal_split!O$3 * 0.01</f>
        <v>0.15865624470369466</v>
      </c>
      <c r="BB89" s="207">
        <f>INDEX($A$87:$H$100,MATCH($L89,$B$87:$B$100,0),MATCH($AO$86,$A$87:$H$87,0))*고양시_Modal_split!P$3 * 0.01</f>
        <v>88.142358168719255</v>
      </c>
      <c r="BC89" s="207">
        <f>INDEX($A$87:$H$100,MATCH($L89,$B$87:$B$100,0),MATCH($BC$86,$A$87:$H$87,0))*고양시_Modal_split!C$3 * 0.01</f>
        <v>3.8784484474449661E-4</v>
      </c>
      <c r="BD89" s="207">
        <f>INDEX($A$87:$H$100,MATCH($L89,$B$87:$B$100,0),MATCH($BC$86,$A$87:$H$87,0))*고양시_Modal_split!D$3 * 0.01</f>
        <v>6.5144082315477428E-2</v>
      </c>
      <c r="BE89" s="207">
        <f>INDEX($A$87:$H$100,MATCH($L89,$B$87:$B$100,0),MATCH($BC$86,$A$87:$H$87,0))*고양시_Modal_split!E$3 * 0.01</f>
        <v>7.881561309272091E-3</v>
      </c>
      <c r="BF89" s="207">
        <f>INDEX($A$87:$H$100,MATCH($L89,$B$87:$B$100,0),MATCH($BC$86,$A$87:$H$87,0))*고양시_Modal_split!F$3 * 0.01</f>
        <v>1.2701918665382266E-2</v>
      </c>
      <c r="BG89" s="207">
        <f>INDEX($A$87:$H$100,MATCH($L89,$B$87:$B$100,0),MATCH($BC$86,$A$87:$H$87,0))*고양시_Modal_split!G$3 * 0.01</f>
        <v>1.2743473470176318E-3</v>
      </c>
      <c r="BH89" s="207">
        <f>INDEX($A$87:$H$100,MATCH($L89,$B$87:$B$100,0),MATCH($BC$86,$A$87:$H$87,0))*고양시_Modal_split!H$3 * 0.01</f>
        <v>1.385160159801774E-5</v>
      </c>
      <c r="BI89" s="207">
        <f>INDEX($A$87:$H$100,MATCH($L89,$B$87:$B$100,0),MATCH($BC$86,$A$87:$H$87,0))*고양시_Modal_split!I$3 * 0.01</f>
        <v>3.850745244248931E-3</v>
      </c>
      <c r="BJ89" s="207">
        <f>INDEX($A$87:$H$100,MATCH($L89,$B$87:$B$100,0),MATCH($BC$86,$A$87:$H$87,0))*고양시_Modal_split!J$3 * 0.01</f>
        <v>4.2164275264365995E-2</v>
      </c>
      <c r="BK89" s="207">
        <f>INDEX($A$87:$H$100,MATCH($L89,$B$87:$B$100,0),MATCH($BC$86,$A$87:$H$87,0))*고양시_Modal_split!K$3 * 0.01</f>
        <v>2.0777402397026607E-4</v>
      </c>
      <c r="BL89" s="207">
        <f>INDEX($A$87:$H$100,MATCH($L89,$B$87:$B$100,0),MATCH($BC$86,$A$87:$H$87,0))*고양시_Modal_split!L$3 * 0.01</f>
        <v>4.1831836826013566E-3</v>
      </c>
      <c r="BM89" s="207">
        <f>INDEX($A$87:$H$100,MATCH($L89,$B$87:$B$100,0),MATCH($BC$86,$A$87:$H$87,0))*고양시_Modal_split!M$3 * 0.01</f>
        <v>3.1858683675440794E-4</v>
      </c>
      <c r="BN89" s="207">
        <f>INDEX($A$87:$H$100,MATCH($L89,$B$87:$B$100,0),MATCH($BC$86,$A$87:$H$87,0))*고양시_Modal_split!N$3 * 0.01</f>
        <v>1.3851601598017737E-4</v>
      </c>
      <c r="BO89" s="207">
        <f>INDEX($A$87:$H$100,MATCH($L89,$B$87:$B$100,0),MATCH($BC$86,$A$87:$H$87,0))*고양시_Modal_split!O$3 * 0.01</f>
        <v>2.4932882876431927E-4</v>
      </c>
      <c r="BP89" s="207">
        <f>INDEX($A$87:$H$100,MATCH($L89,$B$87:$B$100,0),MATCH($BC$86,$A$87:$H$87,0))*고양시_Modal_split!P$3 * 0.01</f>
        <v>0.13851601598017738</v>
      </c>
      <c r="BQ89" s="207">
        <f>INDEX($A$87:$H$100,MATCH($L89,$B$87:$B$100,0),MATCH($BQ$86,$A$87:$H$87,0))*고양시_Modal_split!C$3 * 0.01</f>
        <v>1.4651916357014268E-3</v>
      </c>
      <c r="BR89" s="207">
        <f>INDEX($A$87:$H$100,MATCH($L89,$B$87:$B$100,0),MATCH($BQ$86,$A$87:$H$87,0))*고양시_Modal_split!D$3 * 0.01</f>
        <v>0.24609986652513613</v>
      </c>
      <c r="BS89" s="207">
        <f>INDEX($A$87:$H$100,MATCH($L89,$B$87:$B$100,0),MATCH($BQ$86,$A$87:$H$87,0))*고양시_Modal_split!E$3 * 0.01</f>
        <v>2.9774787168361138E-2</v>
      </c>
      <c r="BT89" s="207">
        <f>INDEX($A$87:$H$100,MATCH($L89,$B$87:$B$100,0),MATCH($BQ$86,$A$87:$H$87,0))*고양시_Modal_split!F$3 * 0.01</f>
        <v>4.7985026069221733E-2</v>
      </c>
      <c r="BU89" s="207">
        <f>INDEX($A$87:$H$100,MATCH($L89,$B$87:$B$100,0),MATCH($BQ$86,$A$87:$H$87,0))*고양시_Modal_split!G$3 * 0.01</f>
        <v>4.81420108873326E-3</v>
      </c>
      <c r="BV89" s="207">
        <f>INDEX($A$87:$H$100,MATCH($L89,$B$87:$B$100,0),MATCH($BQ$86,$A$87:$H$87,0))*고양시_Modal_split!H$3 * 0.01</f>
        <v>5.2328272703622397E-5</v>
      </c>
      <c r="BW89" s="207">
        <f>INDEX($A$87:$H$100,MATCH($L89,$B$87:$B$100,0),MATCH($BQ$86,$A$87:$H$87,0))*고양시_Modal_split!I$3 * 0.01</f>
        <v>1.4547259811607023E-2</v>
      </c>
      <c r="BX89" s="207">
        <f>INDEX($A$87:$H$100,MATCH($L89,$B$87:$B$100,0),MATCH($BQ$86,$A$87:$H$87,0))*고양시_Modal_split!J$3 * 0.01</f>
        <v>0.15928726210982658</v>
      </c>
      <c r="BY89" s="207">
        <f>INDEX($A$87:$H$100,MATCH($L89,$B$87:$B$100,0),MATCH($BQ$86,$A$87:$H$87,0))*고양시_Modal_split!K$3 * 0.01</f>
        <v>7.8492409055433594E-4</v>
      </c>
      <c r="BZ89" s="207">
        <f>INDEX($A$87:$H$100,MATCH($L89,$B$87:$B$100,0),MATCH($BQ$86,$A$87:$H$87,0))*고양시_Modal_split!L$3 * 0.01</f>
        <v>1.5803138356493961E-2</v>
      </c>
      <c r="CA89" s="207">
        <f>INDEX($A$87:$H$100,MATCH($L89,$B$87:$B$100,0),MATCH($BQ$86,$A$87:$H$87,0))*고양시_Modal_split!M$3 * 0.01</f>
        <v>1.203550272183315E-3</v>
      </c>
      <c r="CB89" s="207">
        <f>INDEX($A$87:$H$100,MATCH($L89,$B$87:$B$100,0),MATCH($BQ$86,$A$87:$H$87,0))*고양시_Modal_split!N$3 * 0.01</f>
        <v>5.2328272703622389E-4</v>
      </c>
      <c r="CC89" s="207">
        <f>INDEX($A$87:$H$100,MATCH($L89,$B$87:$B$100,0),MATCH($BQ$86,$A$87:$H$87,0))*고양시_Modal_split!O$3 * 0.01</f>
        <v>9.4190890866520307E-4</v>
      </c>
      <c r="CD89" s="207">
        <f>INDEX($A$87:$H$100,MATCH($L89,$B$87:$B$100,0),MATCH($BQ$86,$A$87:$H$87,0))*고양시_Modal_split!P$3 * 0.01</f>
        <v>0.52328272703622392</v>
      </c>
      <c r="CE89" s="304">
        <f t="shared" ref="CE89:CE100" si="69">M89+AA89+AO89+BC89+BQ89</f>
        <v>5.1451497103804709</v>
      </c>
      <c r="CF89" s="304">
        <f t="shared" si="51"/>
        <v>864.2013959971199</v>
      </c>
      <c r="CG89" s="304">
        <f t="shared" si="52"/>
        <v>104.55679232880314</v>
      </c>
      <c r="CH89" s="304">
        <f t="shared" si="53"/>
        <v>168.50365301496046</v>
      </c>
      <c r="CI89" s="304">
        <f t="shared" si="54"/>
        <v>16.905491905535836</v>
      </c>
      <c r="CJ89" s="304">
        <f t="shared" si="55"/>
        <v>0.18375534679930261</v>
      </c>
      <c r="CK89" s="304">
        <f t="shared" si="56"/>
        <v>51.083986410206109</v>
      </c>
      <c r="CL89" s="304">
        <f t="shared" si="57"/>
        <v>559.35127565707694</v>
      </c>
      <c r="CM89" s="304">
        <f t="shared" si="58"/>
        <v>2.7563302019895386</v>
      </c>
      <c r="CN89" s="304">
        <f t="shared" si="59"/>
        <v>55.494114733389374</v>
      </c>
      <c r="CO89" s="304">
        <f t="shared" si="60"/>
        <v>4.226372976383959</v>
      </c>
      <c r="CP89" s="304">
        <f t="shared" si="61"/>
        <v>1.8375534679930257</v>
      </c>
      <c r="CQ89" s="304">
        <f t="shared" si="62"/>
        <v>3.3075962423874459</v>
      </c>
      <c r="CR89" s="304">
        <f t="shared" si="63"/>
        <v>1837.5534679930256</v>
      </c>
      <c r="CS89" s="305">
        <f t="shared" ref="CS89:CS100" si="70">H89-CR89</f>
        <v>0</v>
      </c>
      <c r="CV89" s="265" t="s">
        <v>605</v>
      </c>
      <c r="CW89" s="265" t="s">
        <v>607</v>
      </c>
      <c r="CX89" s="267">
        <f>INDEX($M$86:$Z$100,MATCH($CW89,$L$86:$L$100,0),MATCH(CX$87,$M$87:$Z$87,0))/INDEX(고양시_재차인원!$D$4:$H$35,MATCH("고양시",고양시_재차인원!$B$4:$B$35,0),MATCH($CX$86,고양시_재차인원!$D$4:$H$4,0))</f>
        <v>89.146574549572435</v>
      </c>
      <c r="CY89" s="267">
        <f>INDEX($M$86:$Z$100,MATCH($CW89,$L$86:$L$100,0),MATCH(CY$87,$M$87:$Z$87,0))/INDEX(고양시_재차인원!$K$4:$O$20,MATCH("경기도",고양시_재차인원!$K$4:$K$20,0),MATCH($CY$87,고양시_재차인원!$K$4:$O$4,0))</f>
        <v>7.3740493397806165E-4</v>
      </c>
      <c r="CZ89" s="267">
        <f>INDEX($M$86:$Z$100,MATCH($CW89,$L$86:$L$100,0),MATCH(CZ$87,$M$87:$Z$87,0))/INDEX(고양시_재차인원!$K$4:$O$20,MATCH("경기도",고양시_재차인원!$K$4:$K$20,0),MATCH($CZ$87,고양시_재차인원!$K$4:$O$4,0))</f>
        <v>0.2049985716459011</v>
      </c>
      <c r="DA89" s="267">
        <f>INDEX($M$86:$Z$100,MATCH($CW89,$L$86:$L$100,0),MATCH(DA$87,$M$87:$Z$87,0))/INDEX(고양시_재차인원!$D$4:$H$35,MATCH("고양시",고양시_재차인원!$B$4:$B$35,0),MATCH($CX$86,고양시_재차인원!$D$4:$H$4,0))</f>
        <v>5.7244876704169405</v>
      </c>
      <c r="DB89" s="267">
        <f>INDEX($AA$86:$AN$100,MATCH($CW89,$L$86:$L$100,0),MATCH(DB$87,$AA$87:$AN$87,0))/INDEX(고양시_재차인원!$D$4:$H$35,MATCH("고양시",고양시_재차인원!$B$4:$B$35,0),MATCH($DB$86,고양시_재차인원!$D$4:$H$4,0))</f>
        <v>512.47704787660257</v>
      </c>
      <c r="DC89" s="267">
        <f>INDEX($AA$86:$AN$100,MATCH($CW89,$L$86:$L$100,0),MATCH(DC$87,$AA$87:$AN$87,0))/INDEX(고양시_재차인원!$K$4:$O$20,MATCH("경기도",고양시_재차인원!$K$4:$K$20,0),MATCH(DC$87,고양시_재차인원!$K$4:$O$4,0))</f>
        <v>5.3367503667558396E-3</v>
      </c>
      <c r="DD89" s="267">
        <f>INDEX($AA$86:$AN$100,MATCH($CW89,$L$86:$L$100,0),MATCH(DD$87,$AA$87:$AN$87,0))/INDEX(고양시_재차인원!$K$4:$O$20,MATCH("경기도",고양시_재차인원!$K$4:$K$20,0),MATCH(DD$87,고양시_재차인원!$K$4:$O$4,0))</f>
        <v>1.4836166019581232</v>
      </c>
      <c r="DE89" s="267">
        <f>INDEX($AA$86:$AN$100,MATCH($CW89,$L$86:$L$100,0),MATCH(DE$87,$AA$87:$AN$87,0))/INDEX(고양시_재차인원!$D$4:$H$35,MATCH("고양시",고양시_재차인원!$B$4:$B$35,0),MATCH($DB$86,고양시_재차인원!$D$4:$H$4,0))</f>
        <v>32.908370924672326</v>
      </c>
      <c r="DF89" s="267">
        <f>INDEX($AO$86:$BB$100,MATCH($CW89,$L$86:$L$100,0),MATCH(DF$87,$AO$87:$BB$87,0))/INDEX(고양시_재차인원!$D$4:$H$35,MATCH("고양시",고양시_재차인원!$B$4:$B$35,0),MATCH($DF$86,고양시_재차인원!$D$4:$H$4,0))</f>
        <v>31.887193112883587</v>
      </c>
      <c r="DG89" s="267">
        <f>INDEX($AO$86:$BB$100,MATCH($CW89,$L$86:$L$100,0),MATCH(DG$87,$AO$87:$BB$87,0))/INDEX(고양시_재차인원!$K$4:$O$20,MATCH("경기도",고양시_재차인원!$K$4:$K$20,0),MATCH(DG$87,고양시_재차인원!$K$4:$O$4,0))</f>
        <v>3.0615615897436354E-4</v>
      </c>
      <c r="DH89" s="267">
        <f>INDEX($AO$86:$BB$100,MATCH($CW89,$L$86:$L$100,0),MATCH(DH$87,$AO$87:$BB$87,0))/INDEX(고양시_재차인원!$K$4:$O$20,MATCH("경기도",고양시_재차인원!$K$4:$K$20,0),MATCH(DH$87,고양시_재차인원!$K$4:$O$4,0))</f>
        <v>8.5111412194873046E-2</v>
      </c>
      <c r="DI89" s="267">
        <f>INDEX($AO$86:$BB$100,MATCH($CW89,$L$86:$L$100,0),MATCH(DI$87,$AO$87:$BB$87,0))/INDEX(고양시_재차인원!$D$4:$H$35,MATCH("고양시",고양시_재차인원!$B$4:$B$35,0),MATCH($DF$86,고양시_재차인원!$D$4:$H$4,0))</f>
        <v>2.0476147820733241</v>
      </c>
      <c r="DJ89" s="267">
        <f>INDEX($BC$86:$BP$100,MATCH($CW89,$L$86:$L$100,0),MATCH(DJ$87,$BC$87:$BP$87,0))/INDEX(고양시_재차인원!$D$4:$H$35,MATCH("고양시",고양시_재차인원!$B$4:$B$35,0),MATCH($DJ$86,고양시_재차인원!$D$4:$H$4,0))</f>
        <v>4.7900060526086342E-2</v>
      </c>
      <c r="DK89" s="267">
        <f>INDEX($BC$86:$BP$100,MATCH($CW89,$L$86:$L$100,0),MATCH(DK$87,$BC$87:$BP$87,0))/INDEX(고양시_재차인원!$K$4:$O$20,MATCH("경기도",고양시_재차인원!$K$4:$K$20,0),MATCH(DK$87,고양시_재차인원!$K$4:$O$4,0))</f>
        <v>4.8112544626668082E-7</v>
      </c>
      <c r="DL89" s="267">
        <f>INDEX($BC$86:$BP$100,MATCH($CW89,$L$86:$L$100,0),MATCH(DL$87,$BC$87:$BP$87,0))/INDEX(고양시_재차인원!$K$4:$O$20,MATCH("경기도",고양시_재차인원!$K$4:$K$20,0),MATCH(DL$87,고양시_재차인원!$K$4:$O$4,0))</f>
        <v>1.3375287406213723E-4</v>
      </c>
      <c r="DM89" s="267">
        <f>INDEX($BC$86:$BP$100,MATCH($CW89,$L$86:$L$100,0),MATCH(DM$87,$BC$87:$BP$87,0))/INDEX(고양시_재차인원!$D$4:$H$35,MATCH("고양시",고양시_재차인원!$B$4:$B$35,0),MATCH($DJ$86,고양시_재차인원!$D$4:$H$4,0))</f>
        <v>3.0758703548539384E-3</v>
      </c>
      <c r="DN89" s="267">
        <f>INDEX($BQ$86:$CD$100,MATCH($CW89,$L$86:$L$100,0),MATCH(DN$87,$BQ$87:$CD$87,0))/INDEX(고양시_재차인원!$D$4:$H$35,MATCH("고양시",고양시_재차인원!$B$4:$B$35,0),MATCH($DN$86,고양시_재차인원!$D$4:$H$4,0))</f>
        <v>0.19531735438502867</v>
      </c>
      <c r="DO89" s="267">
        <f>INDEX($BQ$86:$CD$100,MATCH($CW89,$L$86:$L$100,0),MATCH(DO$87,$BQ$87:$CD$87,0))/INDEX(고양시_재차인원!$K$4:$O$20,MATCH("경기도",고양시_재차인원!$K$4:$K$20,0),MATCH(DO$87,고양시_재차인원!$K$4:$O$4,0))</f>
        <v>1.8175850192296769E-6</v>
      </c>
      <c r="DP89" s="267">
        <f>INDEX($BQ$86:$CD$100,MATCH($CW89,$L$86:$L$100,0),MATCH(DP$87,$BQ$87:$CD$87,0))/INDEX(고양시_재차인원!$K$4:$O$20,MATCH("경기도",고양시_재차인원!$K$4:$K$20,0),MATCH(DP$87,고양시_재차인원!$K$4:$O$4,0))</f>
        <v>5.0528863534585005E-4</v>
      </c>
      <c r="DQ89" s="267">
        <f>INDEX($BQ$86:$CD$100,MATCH($CW89,$L$86:$L$100,0),MATCH(DQ$87,$BQ$87:$CD$87,0))/INDEX(고양시_재차인원!$D$4:$H$35,MATCH("고양시",고양시_재차인원!$B$4:$B$35,0),MATCH($DN$86,고양시_재차인원!$D$4:$H$4,0))</f>
        <v>1.2542173298804731E-2</v>
      </c>
      <c r="DR89" s="270">
        <f t="shared" ref="DR89:DR100" si="71">CX89+DB89+DF89+DJ89+DN89</f>
        <v>633.75403295396961</v>
      </c>
      <c r="DS89" s="270">
        <f t="shared" si="64"/>
        <v>6.38261017017376E-3</v>
      </c>
      <c r="DT89" s="270">
        <f t="shared" si="65"/>
        <v>1.7743656273083053</v>
      </c>
      <c r="DU89" s="270">
        <f t="shared" si="66"/>
        <v>40.696091420816252</v>
      </c>
      <c r="DW89" s="278" t="s">
        <v>605</v>
      </c>
      <c r="DX89" s="278" t="s">
        <v>607</v>
      </c>
      <c r="DY89" s="281">
        <f t="shared" ref="DY89:DY100" si="72">DR89+DU89</f>
        <v>674.4501243747859</v>
      </c>
      <c r="DZ89" s="281">
        <f t="shared" ref="DZ89:DZ100" si="73">DS89+DT89</f>
        <v>1.7807482374784791</v>
      </c>
      <c r="EB89" s="278" t="s">
        <v>622</v>
      </c>
      <c r="EC89" s="278" t="s">
        <v>607</v>
      </c>
      <c r="ED89" s="309">
        <f t="shared" ref="ED89:ED91" si="74">DY89+DY$94*($EN91/SUM($EN$90:$EN$93))</f>
        <v>792.0002976386736</v>
      </c>
      <c r="EE89" s="309">
        <f t="shared" si="67"/>
        <v>2.0911155371346304</v>
      </c>
      <c r="EK89" s="420" t="s">
        <v>12</v>
      </c>
      <c r="EL89" s="420" t="s">
        <v>12</v>
      </c>
      <c r="EM89" s="420" t="s">
        <v>610</v>
      </c>
      <c r="EN89" s="420">
        <v>15857.7047</v>
      </c>
      <c r="EO89" s="420">
        <v>0.5264012731380332</v>
      </c>
      <c r="EP89" s="421">
        <v>849002</v>
      </c>
      <c r="EQ89" s="422">
        <f t="shared" ref="EQ89:EQ107" si="75">VLOOKUP($EL89,$EC$88:$EE$99,2,FALSE)*$EO89 * $CW$9*(1-$DA$5)</f>
        <v>35.735570242963988</v>
      </c>
      <c r="ER89" s="422">
        <f t="shared" ref="ER89:ER107" si="76">VLOOKUP($EL89,$EC$88:$EE$99,3,FALSE)*$EO89* $CW$9*(1-$DA$5)</f>
        <v>9.4352497576358232E-2</v>
      </c>
      <c r="ES89">
        <v>0</v>
      </c>
      <c r="EU89" s="306" t="s">
        <v>12</v>
      </c>
      <c r="EV89" s="306" t="s">
        <v>12</v>
      </c>
      <c r="EW89" s="306" t="s">
        <v>610</v>
      </c>
      <c r="EX89" s="306">
        <v>15857.7047</v>
      </c>
      <c r="EY89" s="306">
        <v>0.5264012731380332</v>
      </c>
      <c r="EZ89" s="307">
        <v>849002</v>
      </c>
      <c r="FA89" s="308">
        <f t="shared" ref="FA89:FA107" si="77">EQ89*$EG$55</f>
        <v>35.735570242963988</v>
      </c>
      <c r="FB89" s="308">
        <f t="shared" si="68"/>
        <v>9.4352497576358232E-2</v>
      </c>
      <c r="FD89" s="101"/>
      <c r="FE89" s="101"/>
      <c r="FF89" s="101"/>
      <c r="FG89" s="101"/>
      <c r="FH89" s="101"/>
      <c r="FI89" s="374"/>
      <c r="FJ89" s="404"/>
      <c r="FK89" s="404"/>
    </row>
    <row r="90" spans="1:167">
      <c r="A90" s="205" t="s">
        <v>605</v>
      </c>
      <c r="B90" s="205" t="s">
        <v>608</v>
      </c>
      <c r="C90" s="201">
        <f>$K31*KTDB_TripDistribution_2040!T$12</f>
        <v>173.97117647767246</v>
      </c>
      <c r="D90" s="201">
        <f>$K31*KTDB_TripDistribution_2040!U$12</f>
        <v>1259.0649954883338</v>
      </c>
      <c r="E90" s="201">
        <f>$K31*KTDB_TripDistribution_2040!V$12</f>
        <v>72.22944234360105</v>
      </c>
      <c r="F90" s="201">
        <f>$K31*KTDB_TripDistribution_2040!W$12</f>
        <v>0.11350881457873435</v>
      </c>
      <c r="G90" s="201">
        <f>$K31*KTDB_TripDistribution_2040!X$12</f>
        <v>0.42881107729743945</v>
      </c>
      <c r="H90" s="201">
        <f>$K31*KTDB_TripDistribution_2040!Y$12</f>
        <v>1505.8079342014837</v>
      </c>
      <c r="J90" s="230">
        <f t="shared" si="50"/>
        <v>1505.8079342014837</v>
      </c>
      <c r="K90" s="206" t="s">
        <v>605</v>
      </c>
      <c r="L90" s="206" t="s">
        <v>608</v>
      </c>
      <c r="M90" s="206">
        <f>INDEX($A$87:$H$100,MATCH($L90,$B$87:$B$100,0),MATCH($M$86,$A$87:$H$87,0))*고양시_Modal_split!C$3 * 0.01</f>
        <v>0.48711929413748278</v>
      </c>
      <c r="N90" s="206">
        <f>INDEX($A$87:$H$100,MATCH($L90,$B$87:$B$100,0),MATCH($M$86,$A$87:$H$87,0))*고양시_Modal_split!D$3 * 0.01</f>
        <v>81.818644297449353</v>
      </c>
      <c r="O90" s="206">
        <f>INDEX($A$87:$H$100,MATCH($L90,$B$87:$B$100,0),MATCH($M$86,$A$87:$H$87,0))*고양시_Modal_split!E$3 * 0.01</f>
        <v>9.8989599415795624</v>
      </c>
      <c r="P90" s="206">
        <f>INDEX($A$87:$H$100,MATCH($L90,$B$87:$B$100,0),MATCH($M$86,$A$87:$H$87,0))*고양시_Modal_split!F$3 * 0.01</f>
        <v>15.953156883002565</v>
      </c>
      <c r="Q90" s="206">
        <f>INDEX($A$87:$H$100,MATCH($L90,$B$87:$B$100,0),MATCH($M$86,$A$87:$H$87,0))*고양시_Modal_split!G$3 * 0.01</f>
        <v>1.6005348235945867</v>
      </c>
      <c r="R90" s="206">
        <f>INDEX($A$87:$H$100,MATCH($L90,$B$87:$B$100,0),MATCH($M$86,$A$87:$H$87,0))*고양시_Modal_split!H$3 * 0.01</f>
        <v>1.7397117647767246E-2</v>
      </c>
      <c r="S90" s="206">
        <f>INDEX($A$87:$H$100,MATCH($L90,$B$87:$B$100,0),MATCH($M$86,$A$87:$H$87,0))*고양시_Modal_split!I$3 * 0.01</f>
        <v>4.8363987060792946</v>
      </c>
      <c r="T90" s="206">
        <f>INDEX($A$87:$H$100,MATCH($L90,$B$87:$B$100,0),MATCH($M$86,$A$87:$H$87,0))*고양시_Modal_split!J$3 * 0.01</f>
        <v>52.956826119803502</v>
      </c>
      <c r="U90" s="206">
        <f>INDEX($A$87:$H$100,MATCH($L90,$B$87:$B$100,0),MATCH($M$86,$A$87:$H$87,0))*고양시_Modal_split!K$3 * 0.01</f>
        <v>0.26095676471650869</v>
      </c>
      <c r="V90" s="206">
        <f>INDEX($A$87:$H$100,MATCH($L90,$B$87:$B$100,0),MATCH($M$86,$A$87:$H$87,0))*고양시_Modal_split!L$3 * 0.01</f>
        <v>5.253929529625708</v>
      </c>
      <c r="W90" s="206">
        <f>INDEX($A$87:$H$100,MATCH($L90,$B$87:$B$100,0),MATCH($M$86,$A$87:$H$87,0))*고양시_Modal_split!M$3 * 0.01</f>
        <v>0.40013370589864666</v>
      </c>
      <c r="X90" s="206">
        <f>INDEX($A$87:$H$100,MATCH($L90,$B$87:$B$100,0),MATCH($M$86,$A$87:$H$87,0))*고양시_Modal_split!N$3 * 0.01</f>
        <v>0.17397117647767246</v>
      </c>
      <c r="Y90" s="206">
        <f>INDEX($A$87:$H$100,MATCH($L90,$B$87:$B$100,0),MATCH($M$86,$A$87:$H$87,0))*고양시_Modal_split!O$3 * 0.01</f>
        <v>0.31314811765981043</v>
      </c>
      <c r="Z90" s="209">
        <f>INDEX($A$87:$H$100,MATCH($L90,$B$87:$B$100,0),MATCH($M$86,$A$87:$H$87,0))*고양시_Modal_split!P$3 * 0.01</f>
        <v>173.97117647767246</v>
      </c>
      <c r="AA90" s="207">
        <f>INDEX($A$87:$H$100,MATCH($L90,$B$87:$B$100,0),MATCH($AA$86,$A$87:$H$87,0))*고양시_Modal_split!C$3 * 0.01</f>
        <v>3.5253819873673344</v>
      </c>
      <c r="AB90" s="207">
        <f>INDEX($A$87:$H$100,MATCH($L90,$B$87:$B$100,0),MATCH($AA$86,$A$87:$H$87,0))*고양시_Modal_split!D$3 * 0.01</f>
        <v>592.1382673781635</v>
      </c>
      <c r="AC90" s="207">
        <f>INDEX($A$87:$H$100,MATCH($L90,$B$87:$B$100,0),MATCH($AA$86,$A$87:$H$87,0))*고양시_Modal_split!E$3 * 0.01</f>
        <v>71.640798243286198</v>
      </c>
      <c r="AD90" s="207">
        <f>INDEX($A$87:$H$100,MATCH($L90,$B$87:$B$100,0),MATCH($AA$86,$A$87:$H$87,0))*고양시_Modal_split!F$3 * 0.01</f>
        <v>115.45626008628022</v>
      </c>
      <c r="AE90" s="207">
        <f>INDEX($A$87:$H$100,MATCH($L90,$B$87:$B$100,0),MATCH($AA$86,$A$87:$H$87,0))*고양시_Modal_split!G$3 * 0.01</f>
        <v>11.58339795849267</v>
      </c>
      <c r="AF90" s="207">
        <f>INDEX($A$87:$H$100,MATCH($L90,$B$87:$B$100,0),MATCH($AA$86,$A$87:$H$87,0))*고양시_Modal_split!H$3 * 0.01</f>
        <v>0.12590649954883337</v>
      </c>
      <c r="AG90" s="207">
        <f>INDEX($A$87:$H$100,MATCH($L90,$B$87:$B$100,0),MATCH($AA$86,$A$87:$H$87,0))*고양시_Modal_split!I$3 * 0.01</f>
        <v>35.002006874575677</v>
      </c>
      <c r="AH90" s="207">
        <f>INDEX($A$87:$H$100,MATCH($L90,$B$87:$B$100,0),MATCH($AA$86,$A$87:$H$87,0))*고양시_Modal_split!J$3 * 0.01</f>
        <v>383.25938462664885</v>
      </c>
      <c r="AI90" s="207">
        <f>INDEX($A$87:$H$100,MATCH($L90,$B$87:$B$100,0),MATCH($AA$86,$A$87:$H$87,0))*고양시_Modal_split!K$3 * 0.01</f>
        <v>1.8885974932325007</v>
      </c>
      <c r="AJ90" s="207">
        <f>INDEX($A$87:$H$100,MATCH($L90,$B$87:$B$100,0),MATCH($AA$86,$A$87:$H$87,0))*고양시_Modal_split!L$3 * 0.01</f>
        <v>38.023762863747677</v>
      </c>
      <c r="AK90" s="207">
        <f>INDEX($A$87:$H$100,MATCH($L90,$B$87:$B$100,0),MATCH($AA$86,$A$87:$H$87,0))*고양시_Modal_split!M$3 * 0.01</f>
        <v>2.8958494896231675</v>
      </c>
      <c r="AL90" s="207">
        <f>INDEX($A$87:$H$100,MATCH($L90,$B$87:$B$100,0),MATCH($AA$86,$A$87:$H$87,0))*고양시_Modal_split!N$3 * 0.01</f>
        <v>1.2590649954883337</v>
      </c>
      <c r="AM90" s="207">
        <f>INDEX($A$87:$H$100,MATCH($L90,$B$87:$B$100,0),MATCH($AA$86,$A$87:$H$87,0))*고양시_Modal_split!O$3 * 0.01</f>
        <v>2.2663169918790009</v>
      </c>
      <c r="AN90" s="207">
        <f>INDEX($A$87:$H$100,MATCH($L90,$B$87:$B$100,0),MATCH($AA$86,$A$87:$H$87,0))*고양시_Modal_split!P$3 * 0.01</f>
        <v>1259.0649954883338</v>
      </c>
      <c r="AO90" s="303">
        <f>INDEX($A$87:$H$100,MATCH($L90,$B$87:$B$100,0),MATCH($AO$86,$A$87:$H$87,0))*고양시_Modal_split!C$3 * 0.01</f>
        <v>0.20224243856208293</v>
      </c>
      <c r="AP90" s="303">
        <f>INDEX($A$87:$H$100,MATCH($L90,$B$87:$B$100,0),MATCH($AO$86,$A$87:$H$87,0))*고양시_Modal_split!D$3 * 0.01</f>
        <v>33.969506734195576</v>
      </c>
      <c r="AQ90" s="303">
        <f>INDEX($A$87:$H$100,MATCH($L90,$B$87:$B$100,0),MATCH($AO$86,$A$87:$H$87,0))*고양시_Modal_split!E$3 * 0.01</f>
        <v>4.1098552693508994</v>
      </c>
      <c r="AR90" s="303">
        <f>INDEX($A$87:$H$100,MATCH($L90,$B$87:$B$100,0),MATCH($AO$86,$A$87:$H$87,0))*고양시_Modal_split!F$3 * 0.01</f>
        <v>6.6234398629082163</v>
      </c>
      <c r="AS90" s="303">
        <f>INDEX($A$87:$H$100,MATCH($L90,$B$87:$B$100,0),MATCH($AO$86,$A$87:$H$87,0))*고양시_Modal_split!G$3 * 0.01</f>
        <v>0.66451086956112959</v>
      </c>
      <c r="AT90" s="303">
        <f>INDEX($A$87:$H$100,MATCH($L90,$B$87:$B$100,0),MATCH($AO$86,$A$87:$H$87,0))*고양시_Modal_split!H$3 * 0.01</f>
        <v>7.2229442343601045E-3</v>
      </c>
      <c r="AU90" s="303">
        <f>INDEX($A$87:$H$100,MATCH($L90,$B$87:$B$100,0),MATCH($AO$86,$A$87:$H$87,0))*고양시_Modal_split!I$3 * 0.01</f>
        <v>2.0079784971521089</v>
      </c>
      <c r="AV90" s="303">
        <f>INDEX($A$87:$H$100,MATCH($L90,$B$87:$B$100,0),MATCH($AO$86,$A$87:$H$87,0))*고양시_Modal_split!J$3 * 0.01</f>
        <v>21.986642249392162</v>
      </c>
      <c r="AW90" s="303">
        <f>INDEX($A$87:$H$100,MATCH($L90,$B$87:$B$100,0),MATCH($AO$86,$A$87:$H$87,0))*고양시_Modal_split!K$3 * 0.01</f>
        <v>0.10834416351540158</v>
      </c>
      <c r="AX90" s="303">
        <f>INDEX($A$87:$H$100,MATCH($L90,$B$87:$B$100,0),MATCH($AO$86,$A$87:$H$87,0))*고양시_Modal_split!L$3 * 0.01</f>
        <v>2.1813291587767516</v>
      </c>
      <c r="AY90" s="303">
        <f>INDEX($A$87:$H$100,MATCH($L90,$B$87:$B$100,0),MATCH($AO$86,$A$87:$H$87,0))*고양시_Modal_split!M$3 * 0.01</f>
        <v>0.1661277173902824</v>
      </c>
      <c r="AZ90" s="303">
        <f>INDEX($A$87:$H$100,MATCH($L90,$B$87:$B$100,0),MATCH($AO$86,$A$87:$H$87,0))*고양시_Modal_split!N$3 * 0.01</f>
        <v>7.2229442343601055E-2</v>
      </c>
      <c r="BA90" s="207">
        <f>INDEX($A$87:$H$100,MATCH($L90,$B$87:$B$100,0),MATCH($AO$86,$A$87:$H$87,0))*고양시_Modal_split!O$3 * 0.01</f>
        <v>0.13001299621848189</v>
      </c>
      <c r="BB90" s="207">
        <f>INDEX($A$87:$H$100,MATCH($L90,$B$87:$B$100,0),MATCH($AO$86,$A$87:$H$87,0))*고양시_Modal_split!P$3 * 0.01</f>
        <v>72.22944234360105</v>
      </c>
      <c r="BC90" s="207">
        <f>INDEX($A$87:$H$100,MATCH($L90,$B$87:$B$100,0),MATCH($BC$86,$A$87:$H$87,0))*고양시_Modal_split!C$3 * 0.01</f>
        <v>3.1782468082045613E-4</v>
      </c>
      <c r="BD90" s="207">
        <f>INDEX($A$87:$H$100,MATCH($L90,$B$87:$B$100,0),MATCH($BC$86,$A$87:$H$87,0))*고양시_Modal_split!D$3 * 0.01</f>
        <v>5.3383195496378766E-2</v>
      </c>
      <c r="BE90" s="207">
        <f>INDEX($A$87:$H$100,MATCH($L90,$B$87:$B$100,0),MATCH($BC$86,$A$87:$H$87,0))*고양시_Modal_split!E$3 * 0.01</f>
        <v>6.458651549529985E-3</v>
      </c>
      <c r="BF90" s="207">
        <f>INDEX($A$87:$H$100,MATCH($L90,$B$87:$B$100,0),MATCH($BC$86,$A$87:$H$87,0))*고양시_Modal_split!F$3 * 0.01</f>
        <v>1.0408758296869941E-2</v>
      </c>
      <c r="BG90" s="207">
        <f>INDEX($A$87:$H$100,MATCH($L90,$B$87:$B$100,0),MATCH($BC$86,$A$87:$H$87,0))*고양시_Modal_split!G$3 * 0.01</f>
        <v>1.0442810941243559E-3</v>
      </c>
      <c r="BH90" s="207">
        <f>INDEX($A$87:$H$100,MATCH($L90,$B$87:$B$100,0),MATCH($BC$86,$A$87:$H$87,0))*고양시_Modal_split!H$3 * 0.01</f>
        <v>1.1350881457873436E-5</v>
      </c>
      <c r="BI90" s="207">
        <f>INDEX($A$87:$H$100,MATCH($L90,$B$87:$B$100,0),MATCH($BC$86,$A$87:$H$87,0))*고양시_Modal_split!I$3 * 0.01</f>
        <v>3.1555450452888144E-3</v>
      </c>
      <c r="BJ90" s="207">
        <f>INDEX($A$87:$H$100,MATCH($L90,$B$87:$B$100,0),MATCH($BC$86,$A$87:$H$87,0))*고양시_Modal_split!J$3 * 0.01</f>
        <v>3.4552083157766741E-2</v>
      </c>
      <c r="BK90" s="207">
        <f>INDEX($A$87:$H$100,MATCH($L90,$B$87:$B$100,0),MATCH($BC$86,$A$87:$H$87,0))*고양시_Modal_split!K$3 * 0.01</f>
        <v>1.7026322186810151E-4</v>
      </c>
      <c r="BL90" s="207">
        <f>INDEX($A$87:$H$100,MATCH($L90,$B$87:$B$100,0),MATCH($BC$86,$A$87:$H$87,0))*고양시_Modal_split!L$3 * 0.01</f>
        <v>3.4279662002777772E-3</v>
      </c>
      <c r="BM90" s="207">
        <f>INDEX($A$87:$H$100,MATCH($L90,$B$87:$B$100,0),MATCH($BC$86,$A$87:$H$87,0))*고양시_Modal_split!M$3 * 0.01</f>
        <v>2.6107027353108897E-4</v>
      </c>
      <c r="BN90" s="207">
        <f>INDEX($A$87:$H$100,MATCH($L90,$B$87:$B$100,0),MATCH($BC$86,$A$87:$H$87,0))*고양시_Modal_split!N$3 * 0.01</f>
        <v>1.1350881457873435E-4</v>
      </c>
      <c r="BO90" s="207">
        <f>INDEX($A$87:$H$100,MATCH($L90,$B$87:$B$100,0),MATCH($BC$86,$A$87:$H$87,0))*고양시_Modal_split!O$3 * 0.01</f>
        <v>2.0431586624172185E-4</v>
      </c>
      <c r="BP90" s="207">
        <f>INDEX($A$87:$H$100,MATCH($L90,$B$87:$B$100,0),MATCH($BC$86,$A$87:$H$87,0))*고양시_Modal_split!P$3 * 0.01</f>
        <v>0.11350881457873435</v>
      </c>
      <c r="BQ90" s="207">
        <f>INDEX($A$87:$H$100,MATCH($L90,$B$87:$B$100,0),MATCH($BQ$86,$A$87:$H$87,0))*고양시_Modal_split!C$3 * 0.01</f>
        <v>1.2006710164328303E-3</v>
      </c>
      <c r="BR90" s="207">
        <f>INDEX($A$87:$H$100,MATCH($L90,$B$87:$B$100,0),MATCH($BQ$86,$A$87:$H$87,0))*고양시_Modal_split!D$3 * 0.01</f>
        <v>0.20166984965298579</v>
      </c>
      <c r="BS90" s="207">
        <f>INDEX($A$87:$H$100,MATCH($L90,$B$87:$B$100,0),MATCH($BQ$86,$A$87:$H$87,0))*고양시_Modal_split!E$3 * 0.01</f>
        <v>2.43993502982243E-2</v>
      </c>
      <c r="BT90" s="207">
        <f>INDEX($A$87:$H$100,MATCH($L90,$B$87:$B$100,0),MATCH($BQ$86,$A$87:$H$87,0))*고양시_Modal_split!F$3 * 0.01</f>
        <v>3.9321975788175194E-2</v>
      </c>
      <c r="BU90" s="207">
        <f>INDEX($A$87:$H$100,MATCH($L90,$B$87:$B$100,0),MATCH($BQ$86,$A$87:$H$87,0))*고양시_Modal_split!G$3 * 0.01</f>
        <v>3.9450619111364429E-3</v>
      </c>
      <c r="BV90" s="207">
        <f>INDEX($A$87:$H$100,MATCH($L90,$B$87:$B$100,0),MATCH($BQ$86,$A$87:$H$87,0))*고양시_Modal_split!H$3 * 0.01</f>
        <v>4.2881107729743947E-5</v>
      </c>
      <c r="BW90" s="207">
        <f>INDEX($A$87:$H$100,MATCH($L90,$B$87:$B$100,0),MATCH($BQ$86,$A$87:$H$87,0))*고양시_Modal_split!I$3 * 0.01</f>
        <v>1.1920947948868816E-2</v>
      </c>
      <c r="BX90" s="207">
        <f>INDEX($A$87:$H$100,MATCH($L90,$B$87:$B$100,0),MATCH($BQ$86,$A$87:$H$87,0))*고양시_Modal_split!J$3 * 0.01</f>
        <v>0.13053009192934056</v>
      </c>
      <c r="BY90" s="207">
        <f>INDEX($A$87:$H$100,MATCH($L90,$B$87:$B$100,0),MATCH($BQ$86,$A$87:$H$87,0))*고양시_Modal_split!K$3 * 0.01</f>
        <v>6.4321661594615915E-4</v>
      </c>
      <c r="BZ90" s="207">
        <f>INDEX($A$87:$H$100,MATCH($L90,$B$87:$B$100,0),MATCH($BQ$86,$A$87:$H$87,0))*고양시_Modal_split!L$3 * 0.01</f>
        <v>1.2950094534382672E-2</v>
      </c>
      <c r="CA90" s="207">
        <f>INDEX($A$87:$H$100,MATCH($L90,$B$87:$B$100,0),MATCH($BQ$86,$A$87:$H$87,0))*고양시_Modal_split!M$3 * 0.01</f>
        <v>9.8626547778411073E-4</v>
      </c>
      <c r="CB90" s="207">
        <f>INDEX($A$87:$H$100,MATCH($L90,$B$87:$B$100,0),MATCH($BQ$86,$A$87:$H$87,0))*고양시_Modal_split!N$3 * 0.01</f>
        <v>4.2881107729743947E-4</v>
      </c>
      <c r="CC90" s="207">
        <f>INDEX($A$87:$H$100,MATCH($L90,$B$87:$B$100,0),MATCH($BQ$86,$A$87:$H$87,0))*고양시_Modal_split!O$3 * 0.01</f>
        <v>7.7185993913539105E-4</v>
      </c>
      <c r="CD90" s="207">
        <f>INDEX($A$87:$H$100,MATCH($L90,$B$87:$B$100,0),MATCH($BQ$86,$A$87:$H$87,0))*고양시_Modal_split!P$3 * 0.01</f>
        <v>0.42881107729743945</v>
      </c>
      <c r="CE90" s="304">
        <f t="shared" si="69"/>
        <v>4.2162622157641527</v>
      </c>
      <c r="CF90" s="304">
        <f t="shared" si="51"/>
        <v>708.18147145495777</v>
      </c>
      <c r="CG90" s="304">
        <f t="shared" si="52"/>
        <v>85.680471456064424</v>
      </c>
      <c r="CH90" s="304">
        <f t="shared" si="53"/>
        <v>138.08258756627606</v>
      </c>
      <c r="CI90" s="304">
        <f t="shared" si="54"/>
        <v>13.853432994653645</v>
      </c>
      <c r="CJ90" s="304">
        <f t="shared" si="55"/>
        <v>0.15058079342014832</v>
      </c>
      <c r="CK90" s="304">
        <f t="shared" si="56"/>
        <v>41.861460570801235</v>
      </c>
      <c r="CL90" s="304">
        <f t="shared" si="57"/>
        <v>458.36793517093167</v>
      </c>
      <c r="CM90" s="304">
        <f t="shared" si="58"/>
        <v>2.2587119013022252</v>
      </c>
      <c r="CN90" s="304">
        <f t="shared" si="59"/>
        <v>45.475399612884793</v>
      </c>
      <c r="CO90" s="304">
        <f t="shared" si="60"/>
        <v>3.4633582486634111</v>
      </c>
      <c r="CP90" s="304">
        <f t="shared" si="61"/>
        <v>1.5058079342014834</v>
      </c>
      <c r="CQ90" s="304">
        <f t="shared" si="62"/>
        <v>2.71045428156267</v>
      </c>
      <c r="CR90" s="304">
        <f t="shared" si="63"/>
        <v>1505.8079342014837</v>
      </c>
      <c r="CS90" s="305">
        <f t="shared" si="70"/>
        <v>0</v>
      </c>
      <c r="CV90" s="265" t="s">
        <v>605</v>
      </c>
      <c r="CW90" s="265" t="s">
        <v>608</v>
      </c>
      <c r="CX90" s="267">
        <f>INDEX($M$86:$Z$100,MATCH($CW90,$L$86:$L$100,0),MATCH(CX$87,$M$87:$Z$87,0))/INDEX(고양시_재차인원!$D$4:$H$35,MATCH("고양시",고양시_재차인원!$B$4:$B$35,0),MATCH($CX$86,고양시_재차인원!$D$4:$H$4,0))</f>
        <v>73.052360979865483</v>
      </c>
      <c r="CY90" s="267">
        <f>INDEX($M$86:$Z$100,MATCH($CW90,$L$86:$L$100,0),MATCH(CY$87,$M$87:$Z$87,0))/INDEX(고양시_재차인원!$K$4:$O$20,MATCH("경기도",고양시_재차인원!$K$4:$K$20,0),MATCH($CY$87,고양시_재차인원!$K$4:$O$4,0))</f>
        <v>6.0427640318746947E-4</v>
      </c>
      <c r="CZ90" s="267">
        <f>INDEX($M$86:$Z$100,MATCH($CW90,$L$86:$L$100,0),MATCH(CZ$87,$M$87:$Z$87,0))/INDEX(고양시_재차인원!$K$4:$O$20,MATCH("경기도",고양시_재차인원!$K$4:$K$20,0),MATCH($CZ$87,고양시_재차인원!$K$4:$O$4,0))</f>
        <v>0.16798884008611653</v>
      </c>
      <c r="DA90" s="267">
        <f>INDEX($M$86:$Z$100,MATCH($CW90,$L$86:$L$100,0),MATCH(DA$87,$M$87:$Z$87,0))/INDEX(고양시_재차인원!$D$4:$H$35,MATCH("고양시",고양시_재차인원!$B$4:$B$35,0),MATCH($CX$86,고양시_재차인원!$D$4:$H$4,0))</f>
        <v>4.6910085085943818</v>
      </c>
      <c r="DB90" s="267">
        <f>INDEX($AA$86:$AN$100,MATCH($CW90,$L$86:$L$100,0),MATCH(DB$87,$AA$87:$AN$87,0))/INDEX(고양시_재차인원!$D$4:$H$35,MATCH("고양시",고양시_재차인원!$B$4:$B$35,0),MATCH($DB$86,고양시_재차인원!$D$4:$H$4,0))</f>
        <v>419.95621799869753</v>
      </c>
      <c r="DC90" s="267">
        <f>INDEX($AA$86:$AN$100,MATCH($CW90,$L$86:$L$100,0),MATCH(DC$87,$AA$87:$AN$87,0))/INDEX(고양시_재차인원!$K$4:$O$20,MATCH("경기도",고양시_재차인원!$K$4:$K$20,0),MATCH(DC$87,고양시_재차인원!$K$4:$O$4,0))</f>
        <v>4.3732719537628818E-3</v>
      </c>
      <c r="DD90" s="267">
        <f>INDEX($AA$86:$AN$100,MATCH($CW90,$L$86:$L$100,0),MATCH(DD$87,$AA$87:$AN$87,0))/INDEX(고양시_재차인원!$K$4:$O$20,MATCH("경기도",고양시_재차인원!$K$4:$K$20,0),MATCH(DD$87,고양시_재차인원!$K$4:$O$4,0))</f>
        <v>1.2157696031460812</v>
      </c>
      <c r="DE90" s="267">
        <f>INDEX($AA$86:$AN$100,MATCH($CW90,$L$86:$L$100,0),MATCH(DE$87,$AA$87:$AN$87,0))/INDEX(고양시_재차인원!$D$4:$H$35,MATCH("고양시",고양시_재차인원!$B$4:$B$35,0),MATCH($DB$86,고양시_재차인원!$D$4:$H$4,0))</f>
        <v>26.96720770478559</v>
      </c>
      <c r="DF90" s="267">
        <f>INDEX($AO$86:$BB$100,MATCH($CW90,$L$86:$L$100,0),MATCH(DF$87,$AO$87:$BB$87,0))/INDEX(고양시_재차인원!$D$4:$H$35,MATCH("고양시",고양시_재차인원!$B$4:$B$35,0),MATCH($DF$86,고양시_재차인원!$D$4:$H$4,0))</f>
        <v>26.130389795535059</v>
      </c>
      <c r="DG90" s="267">
        <f>INDEX($AO$86:$BB$100,MATCH($CW90,$L$86:$L$100,0),MATCH(DG$87,$AO$87:$BB$87,0))/INDEX(고양시_재차인원!$K$4:$O$20,MATCH("경기도",고양시_재차인원!$K$4:$K$20,0),MATCH(DG$87,고양시_재차인원!$K$4:$O$4,0))</f>
        <v>2.5088378723029194E-4</v>
      </c>
      <c r="DH90" s="267">
        <f>INDEX($AO$86:$BB$100,MATCH($CW90,$L$86:$L$100,0),MATCH(DH$87,$AO$87:$BB$87,0))/INDEX(고양시_재차인원!$K$4:$O$20,MATCH("경기도",고양시_재차인원!$K$4:$K$20,0),MATCH(DH$87,고양시_재차인원!$K$4:$O$4,0))</f>
        <v>6.9745692850021149E-2</v>
      </c>
      <c r="DI90" s="267">
        <f>INDEX($AO$86:$BB$100,MATCH($CW90,$L$86:$L$100,0),MATCH(DI$87,$AO$87:$BB$87,0))/INDEX(고양시_재차인원!$D$4:$H$35,MATCH("고양시",고양시_재차인원!$B$4:$B$35,0),MATCH($DF$86,고양시_재차인원!$D$4:$H$4,0))</f>
        <v>1.6779455067513473</v>
      </c>
      <c r="DJ90" s="267">
        <f>INDEX($BC$86:$BP$100,MATCH($CW90,$L$86:$L$100,0),MATCH(DJ$87,$BC$87:$BP$87,0))/INDEX(고양시_재차인원!$D$4:$H$35,MATCH("고양시",고양시_재차인원!$B$4:$B$35,0),MATCH($DJ$86,고양시_재차인원!$D$4:$H$4,0))</f>
        <v>3.9252349629690264E-2</v>
      </c>
      <c r="DK90" s="267">
        <f>INDEX($BC$86:$BP$100,MATCH($CW90,$L$86:$L$100,0),MATCH(DK$87,$BC$87:$BP$87,0))/INDEX(고양시_재차인원!$K$4:$O$20,MATCH("경기도",고양시_재차인원!$K$4:$K$20,0),MATCH(DK$87,고양시_재차인원!$K$4:$O$4,0))</f>
        <v>3.9426472587264455E-7</v>
      </c>
      <c r="DL90" s="267">
        <f>INDEX($BC$86:$BP$100,MATCH($CW90,$L$86:$L$100,0),MATCH(DL$87,$BC$87:$BP$87,0))/INDEX(고양시_재차인원!$K$4:$O$20,MATCH("경기도",고양시_재차인원!$K$4:$K$20,0),MATCH(DL$87,고양시_재차인원!$K$4:$O$4,0))</f>
        <v>1.0960559379259515E-4</v>
      </c>
      <c r="DM90" s="267">
        <f>INDEX($BC$86:$BP$100,MATCH($CW90,$L$86:$L$100,0),MATCH(DM$87,$BC$87:$BP$87,0))/INDEX(고양시_재차인원!$D$4:$H$35,MATCH("고양시",고양시_재차인원!$B$4:$B$35,0),MATCH($DJ$86,고양시_재차인원!$D$4:$H$4,0))</f>
        <v>2.520563382557189E-3</v>
      </c>
      <c r="DN90" s="267">
        <f>INDEX($BQ$86:$CD$100,MATCH($CW90,$L$86:$L$100,0),MATCH(DN$87,$BQ$87:$CD$87,0))/INDEX(고양시_재차인원!$D$4:$H$35,MATCH("고양시",고양시_재차인원!$B$4:$B$35,0),MATCH($DN$86,고양시_재차인원!$D$4:$H$4,0))</f>
        <v>0.16005543623252841</v>
      </c>
      <c r="DO90" s="267">
        <f>INDEX($BQ$86:$CD$100,MATCH($CW90,$L$86:$L$100,0),MATCH(DO$87,$BQ$87:$CD$87,0))/INDEX(고양시_재차인원!$K$4:$O$20,MATCH("경기도",고양시_재차인원!$K$4:$K$20,0),MATCH(DO$87,고양시_재차인원!$K$4:$O$4,0))</f>
        <v>1.4894445199633188E-6</v>
      </c>
      <c r="DP90" s="267">
        <f>INDEX($BQ$86:$CD$100,MATCH($CW90,$L$86:$L$100,0),MATCH(DP$87,$BQ$87:$CD$87,0))/INDEX(고양시_재차인원!$K$4:$O$20,MATCH("경기도",고양시_재차인원!$K$4:$K$20,0),MATCH(DP$87,고양시_재차인원!$K$4:$O$4,0))</f>
        <v>4.1406557654980261E-4</v>
      </c>
      <c r="DQ90" s="267">
        <f>INDEX($BQ$86:$CD$100,MATCH($CW90,$L$86:$L$100,0),MATCH(DQ$87,$BQ$87:$CD$87,0))/INDEX(고양시_재차인원!$D$4:$H$35,MATCH("고양시",고양시_재차인원!$B$4:$B$35,0),MATCH($DN$86,고양시_재차인원!$D$4:$H$4,0))</f>
        <v>1.0277852805065614E-2</v>
      </c>
      <c r="DR90" s="270">
        <f t="shared" si="71"/>
        <v>519.33827655996026</v>
      </c>
      <c r="DS90" s="270">
        <f t="shared" si="64"/>
        <v>5.2303158534264789E-3</v>
      </c>
      <c r="DT90" s="270">
        <f t="shared" si="65"/>
        <v>1.4540278072525612</v>
      </c>
      <c r="DU90" s="270">
        <f t="shared" si="66"/>
        <v>33.348960136318951</v>
      </c>
      <c r="DW90" s="278" t="s">
        <v>605</v>
      </c>
      <c r="DX90" s="278" t="s">
        <v>608</v>
      </c>
      <c r="DY90" s="281">
        <f t="shared" si="72"/>
        <v>552.68723669627923</v>
      </c>
      <c r="DZ90" s="281">
        <f t="shared" si="73"/>
        <v>1.4592581231059876</v>
      </c>
      <c r="EB90" s="278" t="s">
        <v>622</v>
      </c>
      <c r="EC90" s="278" t="s">
        <v>608</v>
      </c>
      <c r="ED90" s="309">
        <f t="shared" si="74"/>
        <v>649.13689386770295</v>
      </c>
      <c r="EE90" s="309">
        <f t="shared" si="67"/>
        <v>1.7139138060189838</v>
      </c>
      <c r="EK90" s="420" t="s">
        <v>622</v>
      </c>
      <c r="EL90" s="420" t="s">
        <v>637</v>
      </c>
      <c r="EM90" s="420" t="s">
        <v>568</v>
      </c>
      <c r="EN90" s="420">
        <v>38657.855799999998</v>
      </c>
      <c r="EO90" s="420">
        <v>1</v>
      </c>
      <c r="EP90" s="421">
        <v>849003</v>
      </c>
      <c r="EQ90" s="422">
        <f t="shared" si="75"/>
        <v>774.08534073932503</v>
      </c>
      <c r="ER90" s="422">
        <f t="shared" si="76"/>
        <v>2.0438147408710203</v>
      </c>
      <c r="ES90">
        <v>0</v>
      </c>
      <c r="EU90" s="306" t="s">
        <v>622</v>
      </c>
      <c r="EV90" s="306" t="s">
        <v>198</v>
      </c>
      <c r="EW90" s="306" t="s">
        <v>568</v>
      </c>
      <c r="EX90" s="306">
        <v>38657.855799999998</v>
      </c>
      <c r="EY90" s="306">
        <v>1</v>
      </c>
      <c r="EZ90" s="307">
        <v>849003</v>
      </c>
      <c r="FA90" s="308">
        <f t="shared" si="77"/>
        <v>774.08534073932503</v>
      </c>
      <c r="FB90" s="308">
        <f t="shared" si="68"/>
        <v>2.0438147408710203</v>
      </c>
      <c r="FD90" s="101"/>
      <c r="FE90" s="101"/>
      <c r="FF90" s="101"/>
      <c r="FG90" s="101"/>
      <c r="FH90" s="101"/>
      <c r="FI90" s="374"/>
      <c r="FJ90" s="404"/>
      <c r="FK90" s="404"/>
    </row>
    <row r="91" spans="1:167">
      <c r="A91" s="205" t="s">
        <v>605</v>
      </c>
      <c r="B91" s="205" t="s">
        <v>609</v>
      </c>
      <c r="C91" s="201">
        <f>$K32*KTDB_TripDistribution_2040!T$12</f>
        <v>177.39800008283027</v>
      </c>
      <c r="D91" s="201">
        <f>$K32*KTDB_TripDistribution_2040!U$12</f>
        <v>1283.8656189842673</v>
      </c>
      <c r="E91" s="201">
        <f>$K32*KTDB_TripDistribution_2040!V$12</f>
        <v>73.652192726864712</v>
      </c>
      <c r="F91" s="201">
        <f>$K32*KTDB_TripDistribution_2040!W$12</f>
        <v>0.11574467165039018</v>
      </c>
      <c r="G91" s="201">
        <f>$K32*KTDB_TripDistribution_2040!X$12</f>
        <v>0.43725764845702814</v>
      </c>
      <c r="H91" s="201">
        <f>$K32*KTDB_TripDistribution_2040!Y$12</f>
        <v>1535.4688141140698</v>
      </c>
      <c r="J91" s="230">
        <f t="shared" si="50"/>
        <v>1535.4688141140698</v>
      </c>
      <c r="K91" s="206" t="s">
        <v>605</v>
      </c>
      <c r="L91" s="206" t="s">
        <v>609</v>
      </c>
      <c r="M91" s="206">
        <f>INDEX($A$87:$H$100,MATCH($L91,$B$87:$B$100,0),MATCH($M$86,$A$87:$H$87,0))*고양시_Modal_split!C$3 * 0.01</f>
        <v>0.4967144002319247</v>
      </c>
      <c r="N91" s="206">
        <f>INDEX($A$87:$H$100,MATCH($L91,$B$87:$B$100,0),MATCH($M$86,$A$87:$H$87,0))*고양시_Modal_split!D$3 * 0.01</f>
        <v>83.430279438955083</v>
      </c>
      <c r="O91" s="206">
        <f>INDEX($A$87:$H$100,MATCH($L91,$B$87:$B$100,0),MATCH($M$86,$A$87:$H$87,0))*고양시_Modal_split!E$3 * 0.01</f>
        <v>10.093946204713042</v>
      </c>
      <c r="P91" s="206">
        <f>INDEX($A$87:$H$100,MATCH($L91,$B$87:$B$100,0),MATCH($M$86,$A$87:$H$87,0))*고양시_Modal_split!F$3 * 0.01</f>
        <v>16.267396607595536</v>
      </c>
      <c r="Q91" s="206">
        <f>INDEX($A$87:$H$100,MATCH($L91,$B$87:$B$100,0),MATCH($M$86,$A$87:$H$87,0))*고양시_Modal_split!G$3 * 0.01</f>
        <v>1.6320616007620385</v>
      </c>
      <c r="R91" s="206">
        <f>INDEX($A$87:$H$100,MATCH($L91,$B$87:$B$100,0),MATCH($M$86,$A$87:$H$87,0))*고양시_Modal_split!H$3 * 0.01</f>
        <v>1.7739800008283027E-2</v>
      </c>
      <c r="S91" s="206">
        <f>INDEX($A$87:$H$100,MATCH($L91,$B$87:$B$100,0),MATCH($M$86,$A$87:$H$87,0))*고양시_Modal_split!I$3 * 0.01</f>
        <v>4.9316644023026814</v>
      </c>
      <c r="T91" s="206">
        <f>INDEX($A$87:$H$100,MATCH($L91,$B$87:$B$100,0),MATCH($M$86,$A$87:$H$87,0))*고양시_Modal_split!J$3 * 0.01</f>
        <v>53.999951225213536</v>
      </c>
      <c r="U91" s="206">
        <f>INDEX($A$87:$H$100,MATCH($L91,$B$87:$B$100,0),MATCH($M$86,$A$87:$H$87,0))*고양시_Modal_split!K$3 * 0.01</f>
        <v>0.26609700012424542</v>
      </c>
      <c r="V91" s="206">
        <f>INDEX($A$87:$H$100,MATCH($L91,$B$87:$B$100,0),MATCH($M$86,$A$87:$H$87,0))*고양시_Modal_split!L$3 * 0.01</f>
        <v>5.3574196025014738</v>
      </c>
      <c r="W91" s="206">
        <f>INDEX($A$87:$H$100,MATCH($L91,$B$87:$B$100,0),MATCH($M$86,$A$87:$H$87,0))*고양시_Modal_split!M$3 * 0.01</f>
        <v>0.40801540019050964</v>
      </c>
      <c r="X91" s="206">
        <f>INDEX($A$87:$H$100,MATCH($L91,$B$87:$B$100,0),MATCH($M$86,$A$87:$H$87,0))*고양시_Modal_split!N$3 * 0.01</f>
        <v>0.17739800008283027</v>
      </c>
      <c r="Y91" s="206">
        <f>INDEX($A$87:$H$100,MATCH($L91,$B$87:$B$100,0),MATCH($M$86,$A$87:$H$87,0))*고양시_Modal_split!O$3 * 0.01</f>
        <v>0.31931640014909446</v>
      </c>
      <c r="Z91" s="209">
        <f>INDEX($A$87:$H$100,MATCH($L91,$B$87:$B$100,0),MATCH($M$86,$A$87:$H$87,0))*고양시_Modal_split!P$3 * 0.01</f>
        <v>177.39800008283027</v>
      </c>
      <c r="AA91" s="207">
        <f>INDEX($A$87:$H$100,MATCH($L91,$B$87:$B$100,0),MATCH($AA$86,$A$87:$H$87,0))*고양시_Modal_split!C$3 * 0.01</f>
        <v>3.5948237331559478</v>
      </c>
      <c r="AB91" s="207">
        <f>INDEX($A$87:$H$100,MATCH($L91,$B$87:$B$100,0),MATCH($AA$86,$A$87:$H$87,0))*고양시_Modal_split!D$3 * 0.01</f>
        <v>603.80200060830089</v>
      </c>
      <c r="AC91" s="207">
        <f>INDEX($A$87:$H$100,MATCH($L91,$B$87:$B$100,0),MATCH($AA$86,$A$87:$H$87,0))*고양시_Modal_split!E$3 * 0.01</f>
        <v>73.051953720204807</v>
      </c>
      <c r="AD91" s="207">
        <f>INDEX($A$87:$H$100,MATCH($L91,$B$87:$B$100,0),MATCH($AA$86,$A$87:$H$87,0))*고양시_Modal_split!F$3 * 0.01</f>
        <v>117.73047726085731</v>
      </c>
      <c r="AE91" s="207">
        <f>INDEX($A$87:$H$100,MATCH($L91,$B$87:$B$100,0),MATCH($AA$86,$A$87:$H$87,0))*고양시_Modal_split!G$3 * 0.01</f>
        <v>11.811563694655259</v>
      </c>
      <c r="AF91" s="207">
        <f>INDEX($A$87:$H$100,MATCH($L91,$B$87:$B$100,0),MATCH($AA$86,$A$87:$H$87,0))*고양시_Modal_split!H$3 * 0.01</f>
        <v>0.12838656189842673</v>
      </c>
      <c r="AG91" s="207">
        <f>INDEX($A$87:$H$100,MATCH($L91,$B$87:$B$100,0),MATCH($AA$86,$A$87:$H$87,0))*고양시_Modal_split!I$3 * 0.01</f>
        <v>35.691464207762628</v>
      </c>
      <c r="AH91" s="207">
        <f>INDEX($A$87:$H$100,MATCH($L91,$B$87:$B$100,0),MATCH($AA$86,$A$87:$H$87,0))*고양시_Modal_split!J$3 * 0.01</f>
        <v>390.808694418811</v>
      </c>
      <c r="AI91" s="207">
        <f>INDEX($A$87:$H$100,MATCH($L91,$B$87:$B$100,0),MATCH($AA$86,$A$87:$H$87,0))*고양시_Modal_split!K$3 * 0.01</f>
        <v>1.9257984284764009</v>
      </c>
      <c r="AJ91" s="207">
        <f>INDEX($A$87:$H$100,MATCH($L91,$B$87:$B$100,0),MATCH($AA$86,$A$87:$H$87,0))*고양시_Modal_split!L$3 * 0.01</f>
        <v>38.772741693324868</v>
      </c>
      <c r="AK91" s="207">
        <f>INDEX($A$87:$H$100,MATCH($L91,$B$87:$B$100,0),MATCH($AA$86,$A$87:$H$87,0))*고양시_Modal_split!M$3 * 0.01</f>
        <v>2.9528909236638148</v>
      </c>
      <c r="AL91" s="207">
        <f>INDEX($A$87:$H$100,MATCH($L91,$B$87:$B$100,0),MATCH($AA$86,$A$87:$H$87,0))*고양시_Modal_split!N$3 * 0.01</f>
        <v>1.2838656189842672</v>
      </c>
      <c r="AM91" s="207">
        <f>INDEX($A$87:$H$100,MATCH($L91,$B$87:$B$100,0),MATCH($AA$86,$A$87:$H$87,0))*고양시_Modal_split!O$3 * 0.01</f>
        <v>2.3109581141716813</v>
      </c>
      <c r="AN91" s="207">
        <f>INDEX($A$87:$H$100,MATCH($L91,$B$87:$B$100,0),MATCH($AA$86,$A$87:$H$87,0))*고양시_Modal_split!P$3 * 0.01</f>
        <v>1283.8656189842673</v>
      </c>
      <c r="AO91" s="303">
        <f>INDEX($A$87:$H$100,MATCH($L91,$B$87:$B$100,0),MATCH($AO$86,$A$87:$H$87,0))*고양시_Modal_split!C$3 * 0.01</f>
        <v>0.20622613963522118</v>
      </c>
      <c r="AP91" s="303">
        <f>INDEX($A$87:$H$100,MATCH($L91,$B$87:$B$100,0),MATCH($AO$86,$A$87:$H$87,0))*고양시_Modal_split!D$3 * 0.01</f>
        <v>34.638626239444477</v>
      </c>
      <c r="AQ91" s="303">
        <f>INDEX($A$87:$H$100,MATCH($L91,$B$87:$B$100,0),MATCH($AO$86,$A$87:$H$87,0))*고양시_Modal_split!E$3 * 0.01</f>
        <v>4.1908097661586012</v>
      </c>
      <c r="AR91" s="303">
        <f>INDEX($A$87:$H$100,MATCH($L91,$B$87:$B$100,0),MATCH($AO$86,$A$87:$H$87,0))*고양시_Modal_split!F$3 * 0.01</f>
        <v>6.7539060730534937</v>
      </c>
      <c r="AS91" s="303">
        <f>INDEX($A$87:$H$100,MATCH($L91,$B$87:$B$100,0),MATCH($AO$86,$A$87:$H$87,0))*고양시_Modal_split!G$3 * 0.01</f>
        <v>0.67760017308715537</v>
      </c>
      <c r="AT91" s="303">
        <f>INDEX($A$87:$H$100,MATCH($L91,$B$87:$B$100,0),MATCH($AO$86,$A$87:$H$87,0))*고양시_Modal_split!H$3 * 0.01</f>
        <v>7.3652192726864716E-3</v>
      </c>
      <c r="AU91" s="303">
        <f>INDEX($A$87:$H$100,MATCH($L91,$B$87:$B$100,0),MATCH($AO$86,$A$87:$H$87,0))*고양시_Modal_split!I$3 * 0.01</f>
        <v>2.0475309578068388</v>
      </c>
      <c r="AV91" s="303">
        <f>INDEX($A$87:$H$100,MATCH($L91,$B$87:$B$100,0),MATCH($AO$86,$A$87:$H$87,0))*고양시_Modal_split!J$3 * 0.01</f>
        <v>22.419727466057619</v>
      </c>
      <c r="AW91" s="303">
        <f>INDEX($A$87:$H$100,MATCH($L91,$B$87:$B$100,0),MATCH($AO$86,$A$87:$H$87,0))*고양시_Modal_split!K$3 * 0.01</f>
        <v>0.11047828909029705</v>
      </c>
      <c r="AX91" s="303">
        <f>INDEX($A$87:$H$100,MATCH($L91,$B$87:$B$100,0),MATCH($AO$86,$A$87:$H$87,0))*고양시_Modal_split!L$3 * 0.01</f>
        <v>2.2242962203513144</v>
      </c>
      <c r="AY91" s="303">
        <f>INDEX($A$87:$H$100,MATCH($L91,$B$87:$B$100,0),MATCH($AO$86,$A$87:$H$87,0))*고양시_Modal_split!M$3 * 0.01</f>
        <v>0.16940004327178884</v>
      </c>
      <c r="AZ91" s="303">
        <f>INDEX($A$87:$H$100,MATCH($L91,$B$87:$B$100,0),MATCH($AO$86,$A$87:$H$87,0))*고양시_Modal_split!N$3 * 0.01</f>
        <v>7.3652192726864713E-2</v>
      </c>
      <c r="BA91" s="207">
        <f>INDEX($A$87:$H$100,MATCH($L91,$B$87:$B$100,0),MATCH($AO$86,$A$87:$H$87,0))*고양시_Modal_split!O$3 * 0.01</f>
        <v>0.13257394690835647</v>
      </c>
      <c r="BB91" s="207">
        <f>INDEX($A$87:$H$100,MATCH($L91,$B$87:$B$100,0),MATCH($AO$86,$A$87:$H$87,0))*고양시_Modal_split!P$3 * 0.01</f>
        <v>73.652192726864712</v>
      </c>
      <c r="BC91" s="207">
        <f>INDEX($A$87:$H$100,MATCH($L91,$B$87:$B$100,0),MATCH($BC$86,$A$87:$H$87,0))*고양시_Modal_split!C$3 * 0.01</f>
        <v>3.2408508062109243E-4</v>
      </c>
      <c r="BD91" s="207">
        <f>INDEX($A$87:$H$100,MATCH($L91,$B$87:$B$100,0),MATCH($BC$86,$A$87:$H$87,0))*고양시_Modal_split!D$3 * 0.01</f>
        <v>5.4434719077178499E-2</v>
      </c>
      <c r="BE91" s="207">
        <f>INDEX($A$87:$H$100,MATCH($L91,$B$87:$B$100,0),MATCH($BC$86,$A$87:$H$87,0))*고양시_Modal_split!E$3 * 0.01</f>
        <v>6.5858718169072008E-3</v>
      </c>
      <c r="BF91" s="207">
        <f>INDEX($A$87:$H$100,MATCH($L91,$B$87:$B$100,0),MATCH($BC$86,$A$87:$H$87,0))*고양시_Modal_split!F$3 * 0.01</f>
        <v>1.0613786390340781E-2</v>
      </c>
      <c r="BG91" s="207">
        <f>INDEX($A$87:$H$100,MATCH($L91,$B$87:$B$100,0),MATCH($BC$86,$A$87:$H$87,0))*고양시_Modal_split!G$3 * 0.01</f>
        <v>1.0648509791835897E-3</v>
      </c>
      <c r="BH91" s="207">
        <f>INDEX($A$87:$H$100,MATCH($L91,$B$87:$B$100,0),MATCH($BC$86,$A$87:$H$87,0))*고양시_Modal_split!H$3 * 0.01</f>
        <v>1.1574467165039019E-5</v>
      </c>
      <c r="BI91" s="207">
        <f>INDEX($A$87:$H$100,MATCH($L91,$B$87:$B$100,0),MATCH($BC$86,$A$87:$H$87,0))*고양시_Modal_split!I$3 * 0.01</f>
        <v>3.2177018718808469E-3</v>
      </c>
      <c r="BJ91" s="207">
        <f>INDEX($A$87:$H$100,MATCH($L91,$B$87:$B$100,0),MATCH($BC$86,$A$87:$H$87,0))*고양시_Modal_split!J$3 * 0.01</f>
        <v>3.5232678050378774E-2</v>
      </c>
      <c r="BK91" s="207">
        <f>INDEX($A$87:$H$100,MATCH($L91,$B$87:$B$100,0),MATCH($BC$86,$A$87:$H$87,0))*고양시_Modal_split!K$3 * 0.01</f>
        <v>1.7361700747558527E-4</v>
      </c>
      <c r="BL91" s="207">
        <f>INDEX($A$87:$H$100,MATCH($L91,$B$87:$B$100,0),MATCH($BC$86,$A$87:$H$87,0))*고양시_Modal_split!L$3 * 0.01</f>
        <v>3.4954890838417834E-3</v>
      </c>
      <c r="BM91" s="207">
        <f>INDEX($A$87:$H$100,MATCH($L91,$B$87:$B$100,0),MATCH($BC$86,$A$87:$H$87,0))*고양시_Modal_split!M$3 * 0.01</f>
        <v>2.6621274479589742E-4</v>
      </c>
      <c r="BN91" s="207">
        <f>INDEX($A$87:$H$100,MATCH($L91,$B$87:$B$100,0),MATCH($BC$86,$A$87:$H$87,0))*고양시_Modal_split!N$3 * 0.01</f>
        <v>1.1574467165039019E-4</v>
      </c>
      <c r="BO91" s="207">
        <f>INDEX($A$87:$H$100,MATCH($L91,$B$87:$B$100,0),MATCH($BC$86,$A$87:$H$87,0))*고양시_Modal_split!O$3 * 0.01</f>
        <v>2.0834040897070233E-4</v>
      </c>
      <c r="BP91" s="207">
        <f>INDEX($A$87:$H$100,MATCH($L91,$B$87:$B$100,0),MATCH($BC$86,$A$87:$H$87,0))*고양시_Modal_split!P$3 * 0.01</f>
        <v>0.11574467165039018</v>
      </c>
      <c r="BQ91" s="207">
        <f>INDEX($A$87:$H$100,MATCH($L91,$B$87:$B$100,0),MATCH($BQ$86,$A$87:$H$87,0))*고양시_Modal_split!C$3 * 0.01</f>
        <v>1.2243214156796786E-3</v>
      </c>
      <c r="BR91" s="207">
        <f>INDEX($A$87:$H$100,MATCH($L91,$B$87:$B$100,0),MATCH($BQ$86,$A$87:$H$87,0))*고양시_Modal_split!D$3 * 0.01</f>
        <v>0.20564227206934035</v>
      </c>
      <c r="BS91" s="207">
        <f>INDEX($A$87:$H$100,MATCH($L91,$B$87:$B$100,0),MATCH($BQ$86,$A$87:$H$87,0))*고양시_Modal_split!E$3 * 0.01</f>
        <v>2.4879960197204901E-2</v>
      </c>
      <c r="BT91" s="207">
        <f>INDEX($A$87:$H$100,MATCH($L91,$B$87:$B$100,0),MATCH($BQ$86,$A$87:$H$87,0))*고양시_Modal_split!F$3 * 0.01</f>
        <v>4.009652636350948E-2</v>
      </c>
      <c r="BU91" s="207">
        <f>INDEX($A$87:$H$100,MATCH($L91,$B$87:$B$100,0),MATCH($BQ$86,$A$87:$H$87,0))*고양시_Modal_split!G$3 * 0.01</f>
        <v>4.0227703658046584E-3</v>
      </c>
      <c r="BV91" s="207">
        <f>INDEX($A$87:$H$100,MATCH($L91,$B$87:$B$100,0),MATCH($BQ$86,$A$87:$H$87,0))*고양시_Modal_split!H$3 * 0.01</f>
        <v>4.3725764845702816E-5</v>
      </c>
      <c r="BW91" s="207">
        <f>INDEX($A$87:$H$100,MATCH($L91,$B$87:$B$100,0),MATCH($BQ$86,$A$87:$H$87,0))*고양시_Modal_split!I$3 * 0.01</f>
        <v>1.2155762627105382E-2</v>
      </c>
      <c r="BX91" s="207">
        <f>INDEX($A$87:$H$100,MATCH($L91,$B$87:$B$100,0),MATCH($BQ$86,$A$87:$H$87,0))*고양시_Modal_split!J$3 * 0.01</f>
        <v>0.13310122819031939</v>
      </c>
      <c r="BY91" s="207">
        <f>INDEX($A$87:$H$100,MATCH($L91,$B$87:$B$100,0),MATCH($BQ$86,$A$87:$H$87,0))*고양시_Modal_split!K$3 * 0.01</f>
        <v>6.5588647268554224E-4</v>
      </c>
      <c r="BZ91" s="207">
        <f>INDEX($A$87:$H$100,MATCH($L91,$B$87:$B$100,0),MATCH($BQ$86,$A$87:$H$87,0))*고양시_Modal_split!L$3 * 0.01</f>
        <v>1.3205180983402249E-2</v>
      </c>
      <c r="CA91" s="207">
        <f>INDEX($A$87:$H$100,MATCH($L91,$B$87:$B$100,0),MATCH($BQ$86,$A$87:$H$87,0))*고양시_Modal_split!M$3 * 0.01</f>
        <v>1.0056925914511646E-3</v>
      </c>
      <c r="CB91" s="207">
        <f>INDEX($A$87:$H$100,MATCH($L91,$B$87:$B$100,0),MATCH($BQ$86,$A$87:$H$87,0))*고양시_Modal_split!N$3 * 0.01</f>
        <v>4.3725764845702812E-4</v>
      </c>
      <c r="CC91" s="207">
        <f>INDEX($A$87:$H$100,MATCH($L91,$B$87:$B$100,0),MATCH($BQ$86,$A$87:$H$87,0))*고양시_Modal_split!O$3 * 0.01</f>
        <v>7.870637672226506E-4</v>
      </c>
      <c r="CD91" s="207">
        <f>INDEX($A$87:$H$100,MATCH($L91,$B$87:$B$100,0),MATCH($BQ$86,$A$87:$H$87,0))*고양시_Modal_split!P$3 * 0.01</f>
        <v>0.43725764845702814</v>
      </c>
      <c r="CE91" s="304">
        <f t="shared" si="69"/>
        <v>4.2993126795193932</v>
      </c>
      <c r="CF91" s="304">
        <f t="shared" si="51"/>
        <v>722.13098327784689</v>
      </c>
      <c r="CG91" s="304">
        <f t="shared" si="52"/>
        <v>87.368175523090557</v>
      </c>
      <c r="CH91" s="304">
        <f t="shared" si="53"/>
        <v>140.80249025426016</v>
      </c>
      <c r="CI91" s="304">
        <f t="shared" si="54"/>
        <v>14.126313089849441</v>
      </c>
      <c r="CJ91" s="304">
        <f t="shared" si="55"/>
        <v>0.15354688141140696</v>
      </c>
      <c r="CK91" s="304">
        <f t="shared" si="56"/>
        <v>42.686033032371135</v>
      </c>
      <c r="CL91" s="304">
        <f t="shared" si="57"/>
        <v>467.39670701632281</v>
      </c>
      <c r="CM91" s="304">
        <f t="shared" si="58"/>
        <v>2.3032032211711044</v>
      </c>
      <c r="CN91" s="304">
        <f t="shared" si="59"/>
        <v>46.371158186244898</v>
      </c>
      <c r="CO91" s="304">
        <f t="shared" si="60"/>
        <v>3.5315782724623603</v>
      </c>
      <c r="CP91" s="304">
        <f t="shared" si="61"/>
        <v>1.5354688141140698</v>
      </c>
      <c r="CQ91" s="304">
        <f t="shared" si="62"/>
        <v>2.7638438654053252</v>
      </c>
      <c r="CR91" s="304">
        <f t="shared" si="63"/>
        <v>1535.4688141140698</v>
      </c>
      <c r="CS91" s="305">
        <f t="shared" si="70"/>
        <v>0</v>
      </c>
      <c r="CV91" s="265" t="s">
        <v>605</v>
      </c>
      <c r="CW91" s="265" t="s">
        <v>609</v>
      </c>
      <c r="CX91" s="267">
        <f>INDEX($M$86:$Z$100,MATCH($CW91,$L$86:$L$100,0),MATCH(CX$87,$M$87:$Z$87,0))/INDEX(고양시_재차인원!$D$4:$H$35,MATCH("고양시",고양시_재차인원!$B$4:$B$35,0),MATCH($CX$86,고양시_재차인원!$D$4:$H$4,0))</f>
        <v>74.491320927638455</v>
      </c>
      <c r="CY91" s="267">
        <f>INDEX($M$86:$Z$100,MATCH($CW91,$L$86:$L$100,0),MATCH(CY$87,$M$87:$Z$87,0))/INDEX(고양시_재차인원!$K$4:$O$20,MATCH("경기도",고양시_재차인원!$K$4:$K$20,0),MATCH($CY$87,고양시_재차인원!$K$4:$O$4,0))</f>
        <v>6.1617922918662824E-4</v>
      </c>
      <c r="CZ91" s="267">
        <f>INDEX($M$86:$Z$100,MATCH($CW91,$L$86:$L$100,0),MATCH(CZ$87,$M$87:$Z$87,0))/INDEX(고양시_재차인원!$K$4:$O$20,MATCH("경기도",고양시_재차인원!$K$4:$K$20,0),MATCH($CZ$87,고양시_재차인원!$K$4:$O$4,0))</f>
        <v>0.17129782571388266</v>
      </c>
      <c r="DA91" s="267">
        <f>INDEX($M$86:$Z$100,MATCH($CW91,$L$86:$L$100,0),MATCH(DA$87,$M$87:$Z$87,0))/INDEX(고양시_재차인원!$D$4:$H$35,MATCH("고양시",고양시_재차인원!$B$4:$B$35,0),MATCH($CX$86,고양시_재차인원!$D$4:$H$4,0))</f>
        <v>4.7834103593763153</v>
      </c>
      <c r="DB91" s="267">
        <f>INDEX($AA$86:$AN$100,MATCH($CW91,$L$86:$L$100,0),MATCH(DB$87,$AA$87:$AN$87,0))/INDEX(고양시_재차인원!$D$4:$H$35,MATCH("고양시",고양시_재차인원!$B$4:$B$35,0),MATCH($DB$86,고양시_재차인원!$D$4:$H$4,0))</f>
        <v>428.22836922574533</v>
      </c>
      <c r="DC91" s="267">
        <f>INDEX($AA$86:$AN$100,MATCH($CW91,$L$86:$L$100,0),MATCH(DC$87,$AA$87:$AN$87,0))/INDEX(고양시_재차인원!$K$4:$O$20,MATCH("경기도",고양시_재차인원!$K$4:$K$20,0),MATCH(DC$87,고양시_재차인원!$K$4:$O$4,0))</f>
        <v>4.459415140619199E-3</v>
      </c>
      <c r="DD91" s="267">
        <f>INDEX($AA$86:$AN$100,MATCH($CW91,$L$86:$L$100,0),MATCH(DD$87,$AA$87:$AN$87,0))/INDEX(고양시_재차인원!$K$4:$O$20,MATCH("경기도",고양시_재차인원!$K$4:$K$20,0),MATCH(DD$87,고양시_재차인원!$K$4:$O$4,0))</f>
        <v>1.2397174090921372</v>
      </c>
      <c r="DE91" s="267">
        <f>INDEX($AA$86:$AN$100,MATCH($CW91,$L$86:$L$100,0),MATCH(DE$87,$AA$87:$AN$87,0))/INDEX(고양시_재차인원!$D$4:$H$35,MATCH("고양시",고양시_재차인원!$B$4:$B$35,0),MATCH($DB$86,고양시_재차인원!$D$4:$H$4,0))</f>
        <v>27.49839836406019</v>
      </c>
      <c r="DF91" s="267">
        <f>INDEX($AO$86:$BB$100,MATCH($CW91,$L$86:$L$100,0),MATCH(DF$87,$AO$87:$BB$87,0))/INDEX(고양시_재차인원!$D$4:$H$35,MATCH("고양시",고양시_재차인원!$B$4:$B$35,0),MATCH($DF$86,고양시_재차인원!$D$4:$H$4,0))</f>
        <v>26.645097107264981</v>
      </c>
      <c r="DG91" s="267">
        <f>INDEX($AO$86:$BB$100,MATCH($CW91,$L$86:$L$100,0),MATCH(DG$87,$AO$87:$BB$87,0))/INDEX(고양시_재차인원!$K$4:$O$20,MATCH("경기도",고양시_재차인원!$K$4:$K$20,0),MATCH(DG$87,고양시_재차인원!$K$4:$O$4,0))</f>
        <v>2.5582560863794625E-4</v>
      </c>
      <c r="DH91" s="267">
        <f>INDEX($AO$86:$BB$100,MATCH($CW91,$L$86:$L$100,0),MATCH(DH$87,$AO$87:$BB$87,0))/INDEX(고양시_재차인원!$K$4:$O$20,MATCH("경기도",고양시_재차인원!$K$4:$K$20,0),MATCH(DH$87,고양시_재차인원!$K$4:$O$4,0))</f>
        <v>7.1119519201349041E-2</v>
      </c>
      <c r="DI91" s="267">
        <f>INDEX($AO$86:$BB$100,MATCH($CW91,$L$86:$L$100,0),MATCH(DI$87,$AO$87:$BB$87,0))/INDEX(고양시_재차인원!$D$4:$H$35,MATCH("고양시",고양시_재차인원!$B$4:$B$35,0),MATCH($DF$86,고양시_재차인원!$D$4:$H$4,0))</f>
        <v>1.7109970925779341</v>
      </c>
      <c r="DJ91" s="267">
        <f>INDEX($BC$86:$BP$100,MATCH($CW91,$L$86:$L$100,0),MATCH(DJ$87,$BC$87:$BP$87,0))/INDEX(고양시_재차인원!$D$4:$H$35,MATCH("고양시",고양시_재차인원!$B$4:$B$35,0),MATCH($DJ$86,고양시_재차인원!$D$4:$H$4,0))</f>
        <v>4.0025528733219483E-2</v>
      </c>
      <c r="DK91" s="267">
        <f>INDEX($BC$86:$BP$100,MATCH($CW91,$L$86:$L$100,0),MATCH(DK$87,$BC$87:$BP$87,0))/INDEX(고양시_재차인원!$K$4:$O$20,MATCH("경기도",고양시_재차인원!$K$4:$K$20,0),MATCH(DK$87,고양시_재차인원!$K$4:$O$4,0))</f>
        <v>4.0203081504129974E-7</v>
      </c>
      <c r="DL91" s="267">
        <f>INDEX($BC$86:$BP$100,MATCH($CW91,$L$86:$L$100,0),MATCH(DL$87,$BC$87:$BP$87,0))/INDEX(고양시_재차인원!$K$4:$O$20,MATCH("경기도",고양시_재차인원!$K$4:$K$20,0),MATCH(DL$87,고양시_재차인원!$K$4:$O$4,0))</f>
        <v>1.1176456658148131E-4</v>
      </c>
      <c r="DM91" s="267">
        <f>INDEX($BC$86:$BP$100,MATCH($CW91,$L$86:$L$100,0),MATCH(DM$87,$BC$87:$BP$87,0))/INDEX(고양시_재차인원!$D$4:$H$35,MATCH("고양시",고양시_재차인원!$B$4:$B$35,0),MATCH($DJ$86,고양시_재차인원!$D$4:$H$4,0))</f>
        <v>2.5702125616483698E-3</v>
      </c>
      <c r="DN91" s="267">
        <f>INDEX($BQ$86:$CD$100,MATCH($CW91,$L$86:$L$100,0),MATCH(DN$87,$BQ$87:$CD$87,0))/INDEX(고양시_재차인원!$D$4:$H$35,MATCH("고양시",고양시_재차인원!$B$4:$B$35,0),MATCH($DN$86,고양시_재차인원!$D$4:$H$4,0))</f>
        <v>0.16320815243598441</v>
      </c>
      <c r="DO91" s="267">
        <f>INDEX($BQ$86:$CD$100,MATCH($CW91,$L$86:$L$100,0),MATCH(DO$87,$BQ$87:$CD$87,0))/INDEX(고양시_재차인원!$K$4:$O$20,MATCH("경기도",고양시_재차인원!$K$4:$K$20,0),MATCH(DO$87,고양시_재차인원!$K$4:$O$4,0))</f>
        <v>1.5187830790449051E-6</v>
      </c>
      <c r="DP91" s="267">
        <f>INDEX($BQ$86:$CD$100,MATCH($CW91,$L$86:$L$100,0),MATCH(DP$87,$BQ$87:$CD$87,0))/INDEX(고양시_재차인원!$K$4:$O$20,MATCH("경기도",고양시_재차인원!$K$4:$K$20,0),MATCH(DP$87,고양시_재차인원!$K$4:$O$4,0))</f>
        <v>4.2222169597448358E-4</v>
      </c>
      <c r="DQ91" s="267">
        <f>INDEX($BQ$86:$CD$100,MATCH($CW91,$L$86:$L$100,0),MATCH(DQ$87,$BQ$87:$CD$87,0))/INDEX(고양시_재차인원!$D$4:$H$35,MATCH("고양시",고양시_재차인원!$B$4:$B$35,0),MATCH($DN$86,고양시_재차인원!$D$4:$H$4,0))</f>
        <v>1.0480302367779562E-2</v>
      </c>
      <c r="DR91" s="270">
        <f t="shared" si="71"/>
        <v>529.56802094181796</v>
      </c>
      <c r="DS91" s="270">
        <f t="shared" si="64"/>
        <v>5.33334079233786E-3</v>
      </c>
      <c r="DT91" s="270">
        <f t="shared" si="65"/>
        <v>1.4826687402699248</v>
      </c>
      <c r="DU91" s="270">
        <f t="shared" si="66"/>
        <v>34.005856330943871</v>
      </c>
      <c r="DW91" s="278" t="s">
        <v>605</v>
      </c>
      <c r="DX91" s="278" t="s">
        <v>609</v>
      </c>
      <c r="DY91" s="281">
        <f t="shared" si="72"/>
        <v>563.57387727276182</v>
      </c>
      <c r="DZ91" s="281">
        <f t="shared" si="73"/>
        <v>1.4880020810622627</v>
      </c>
      <c r="EB91" s="278" t="s">
        <v>622</v>
      </c>
      <c r="EC91" s="278" t="s">
        <v>609</v>
      </c>
      <c r="ED91" s="309">
        <f t="shared" si="74"/>
        <v>661.81363213185512</v>
      </c>
      <c r="EE91" s="309">
        <f t="shared" si="67"/>
        <v>1.7473841524612672</v>
      </c>
      <c r="EK91" s="420" t="s">
        <v>622</v>
      </c>
      <c r="EL91" s="420" t="s">
        <v>638</v>
      </c>
      <c r="EM91" s="420" t="s">
        <v>76</v>
      </c>
      <c r="EN91" s="420">
        <v>38408.5</v>
      </c>
      <c r="EO91" s="420">
        <v>1</v>
      </c>
      <c r="EP91" s="421">
        <v>849004</v>
      </c>
      <c r="EQ91" s="422">
        <f t="shared" si="75"/>
        <v>769.42828915597147</v>
      </c>
      <c r="ER91" s="422">
        <f t="shared" si="76"/>
        <v>2.0315187443262936</v>
      </c>
      <c r="ES91">
        <v>0</v>
      </c>
      <c r="EU91" s="306" t="s">
        <v>622</v>
      </c>
      <c r="EV91" s="306" t="s">
        <v>199</v>
      </c>
      <c r="EW91" s="306" t="s">
        <v>76</v>
      </c>
      <c r="EX91" s="306">
        <v>38408.5</v>
      </c>
      <c r="EY91" s="306">
        <v>1</v>
      </c>
      <c r="EZ91" s="307">
        <v>849004</v>
      </c>
      <c r="FA91" s="308">
        <f t="shared" si="77"/>
        <v>769.42828915597147</v>
      </c>
      <c r="FB91" s="308">
        <f t="shared" si="68"/>
        <v>2.0315187443262936</v>
      </c>
      <c r="FD91" s="101"/>
      <c r="FE91" s="101"/>
      <c r="FF91" s="101"/>
      <c r="FG91" s="101"/>
      <c r="FH91" s="101"/>
      <c r="FI91" s="374"/>
      <c r="FJ91" s="404"/>
      <c r="FK91" s="404"/>
    </row>
    <row r="92" spans="1:167">
      <c r="A92" s="205" t="s">
        <v>12</v>
      </c>
      <c r="B92" s="205" t="s">
        <v>12</v>
      </c>
      <c r="C92" s="201">
        <f>$K33*KTDB_TripDistribution_2040!T$12</f>
        <v>21.995753583398368</v>
      </c>
      <c r="D92" s="201">
        <f>$K33*KTDB_TripDistribution_2040!U$12</f>
        <v>159.18776861176335</v>
      </c>
      <c r="E92" s="201">
        <f>$K33*KTDB_TripDistribution_2040!V$12</f>
        <v>9.1322082624418446</v>
      </c>
      <c r="F92" s="201">
        <f>$K33*KTDB_TripDistribution_2040!W$12</f>
        <v>1.4351296378902893E-2</v>
      </c>
      <c r="G92" s="201">
        <f>$K33*KTDB_TripDistribution_2040!X$12</f>
        <v>5.4216008542521864E-2</v>
      </c>
      <c r="H92" s="201">
        <f>$K33*KTDB_TripDistribution_2040!Y$12</f>
        <v>190.38429776252499</v>
      </c>
      <c r="J92" s="230">
        <f t="shared" si="50"/>
        <v>190.38429776252497</v>
      </c>
      <c r="K92" s="206" t="s">
        <v>12</v>
      </c>
      <c r="L92" s="206" t="s">
        <v>12</v>
      </c>
      <c r="M92" s="206">
        <f>INDEX($A$87:$H$100,MATCH($L92,$B$87:$B$100,0),MATCH($M$86,$A$87:$H$87,0))*고양시_Modal_split!C$3 * 0.01</f>
        <v>6.1588110033515421E-2</v>
      </c>
      <c r="N92" s="206">
        <f>INDEX($A$87:$H$100,MATCH($L92,$B$87:$B$100,0),MATCH($M$86,$A$87:$H$87,0))*고양시_Modal_split!D$3 * 0.01</f>
        <v>10.344602910272254</v>
      </c>
      <c r="O92" s="206">
        <f>INDEX($A$87:$H$100,MATCH($L92,$B$87:$B$100,0),MATCH($M$86,$A$87:$H$87,0))*고양시_Modal_split!E$3 * 0.01</f>
        <v>1.251558378895367</v>
      </c>
      <c r="P92" s="206">
        <f>INDEX($A$87:$H$100,MATCH($L92,$B$87:$B$100,0),MATCH($M$86,$A$87:$H$87,0))*고양시_Modal_split!F$3 * 0.01</f>
        <v>2.0170106035976305</v>
      </c>
      <c r="Q92" s="206">
        <f>INDEX($A$87:$H$100,MATCH($L92,$B$87:$B$100,0),MATCH($M$86,$A$87:$H$87,0))*고양시_Modal_split!G$3 * 0.01</f>
        <v>0.20236093296726498</v>
      </c>
      <c r="R92" s="206">
        <f>INDEX($A$87:$H$100,MATCH($L92,$B$87:$B$100,0),MATCH($M$86,$A$87:$H$87,0))*고양시_Modal_split!H$3 * 0.01</f>
        <v>2.199575358339837E-3</v>
      </c>
      <c r="S92" s="206">
        <f>INDEX($A$87:$H$100,MATCH($L92,$B$87:$B$100,0),MATCH($M$86,$A$87:$H$87,0))*고양시_Modal_split!I$3 * 0.01</f>
        <v>0.61148194961847457</v>
      </c>
      <c r="T92" s="206">
        <f>INDEX($A$87:$H$100,MATCH($L92,$B$87:$B$100,0),MATCH($M$86,$A$87:$H$87,0))*고양시_Modal_split!J$3 * 0.01</f>
        <v>6.6955073907864646</v>
      </c>
      <c r="U92" s="206">
        <f>INDEX($A$87:$H$100,MATCH($L92,$B$87:$B$100,0),MATCH($M$86,$A$87:$H$87,0))*고양시_Modal_split!K$3 * 0.01</f>
        <v>3.2993630375097553E-2</v>
      </c>
      <c r="V92" s="206">
        <f>INDEX($A$87:$H$100,MATCH($L92,$B$87:$B$100,0),MATCH($M$86,$A$87:$H$87,0))*고양시_Modal_split!L$3 * 0.01</f>
        <v>0.66427175821863071</v>
      </c>
      <c r="W92" s="206">
        <f>INDEX($A$87:$H$100,MATCH($L92,$B$87:$B$100,0),MATCH($M$86,$A$87:$H$87,0))*고양시_Modal_split!M$3 * 0.01</f>
        <v>5.0590233241816246E-2</v>
      </c>
      <c r="X92" s="206">
        <f>INDEX($A$87:$H$100,MATCH($L92,$B$87:$B$100,0),MATCH($M$86,$A$87:$H$87,0))*고양시_Modal_split!N$3 * 0.01</f>
        <v>2.1995753583398368E-2</v>
      </c>
      <c r="Y92" s="206">
        <f>INDEX($A$87:$H$100,MATCH($L92,$B$87:$B$100,0),MATCH($M$86,$A$87:$H$87,0))*고양시_Modal_split!O$3 * 0.01</f>
        <v>3.9592356450117064E-2</v>
      </c>
      <c r="Z92" s="209">
        <f>INDEX($A$87:$H$100,MATCH($L92,$B$87:$B$100,0),MATCH($M$86,$A$87:$H$87,0))*고양시_Modal_split!P$3 * 0.01</f>
        <v>21.995753583398368</v>
      </c>
      <c r="AA92" s="207">
        <f>INDEX($A$87:$H$100,MATCH($L92,$B$87:$B$100,0),MATCH($AA$86,$A$87:$H$87,0))*고양시_Modal_split!C$3 * 0.01</f>
        <v>0.4457257521129373</v>
      </c>
      <c r="AB92" s="207">
        <f>INDEX($A$87:$H$100,MATCH($L92,$B$87:$B$100,0),MATCH($AA$86,$A$87:$H$87,0))*고양시_Modal_split!D$3 * 0.01</f>
        <v>74.866007578112303</v>
      </c>
      <c r="AC92" s="207">
        <f>INDEX($A$87:$H$100,MATCH($L92,$B$87:$B$100,0),MATCH($AA$86,$A$87:$H$87,0))*고양시_Modal_split!E$3 * 0.01</f>
        <v>9.0577840340093339</v>
      </c>
      <c r="AD92" s="207">
        <f>INDEX($A$87:$H$100,MATCH($L92,$B$87:$B$100,0),MATCH($AA$86,$A$87:$H$87,0))*고양시_Modal_split!F$3 * 0.01</f>
        <v>14.597518381698698</v>
      </c>
      <c r="AE92" s="207">
        <f>INDEX($A$87:$H$100,MATCH($L92,$B$87:$B$100,0),MATCH($AA$86,$A$87:$H$87,0))*고양시_Modal_split!G$3 * 0.01</f>
        <v>1.4645274712282228</v>
      </c>
      <c r="AF92" s="207">
        <f>INDEX($A$87:$H$100,MATCH($L92,$B$87:$B$100,0),MATCH($AA$86,$A$87:$H$87,0))*고양시_Modal_split!H$3 * 0.01</f>
        <v>1.5918776861176338E-2</v>
      </c>
      <c r="AG92" s="207">
        <f>INDEX($A$87:$H$100,MATCH($L92,$B$87:$B$100,0),MATCH($AA$86,$A$87:$H$87,0))*고양시_Modal_split!I$3 * 0.01</f>
        <v>4.4254199674070209</v>
      </c>
      <c r="AH92" s="207">
        <f>INDEX($A$87:$H$100,MATCH($L92,$B$87:$B$100,0),MATCH($AA$86,$A$87:$H$87,0))*고양시_Modal_split!J$3 * 0.01</f>
        <v>48.456756765420771</v>
      </c>
      <c r="AI92" s="207">
        <f>INDEX($A$87:$H$100,MATCH($L92,$B$87:$B$100,0),MATCH($AA$86,$A$87:$H$87,0))*고양시_Modal_split!K$3 * 0.01</f>
        <v>0.238781652917645</v>
      </c>
      <c r="AJ92" s="207">
        <f>INDEX($A$87:$H$100,MATCH($L92,$B$87:$B$100,0),MATCH($AA$86,$A$87:$H$87,0))*고양시_Modal_split!L$3 * 0.01</f>
        <v>4.8074706120752531</v>
      </c>
      <c r="AK92" s="207">
        <f>INDEX($A$87:$H$100,MATCH($L92,$B$87:$B$100,0),MATCH($AA$86,$A$87:$H$87,0))*고양시_Modal_split!M$3 * 0.01</f>
        <v>0.3661318678070557</v>
      </c>
      <c r="AL92" s="207">
        <f>INDEX($A$87:$H$100,MATCH($L92,$B$87:$B$100,0),MATCH($AA$86,$A$87:$H$87,0))*고양시_Modal_split!N$3 * 0.01</f>
        <v>0.15918776861176334</v>
      </c>
      <c r="AM92" s="207">
        <f>INDEX($A$87:$H$100,MATCH($L92,$B$87:$B$100,0),MATCH($AA$86,$A$87:$H$87,0))*고양시_Modal_split!O$3 * 0.01</f>
        <v>0.28653798350117404</v>
      </c>
      <c r="AN92" s="207">
        <f>INDEX($A$87:$H$100,MATCH($L92,$B$87:$B$100,0),MATCH($AA$86,$A$87:$H$87,0))*고양시_Modal_split!P$3 * 0.01</f>
        <v>159.18776861176335</v>
      </c>
      <c r="AO92" s="303">
        <f>INDEX($A$87:$H$100,MATCH($L92,$B$87:$B$100,0),MATCH($AO$86,$A$87:$H$87,0))*고양시_Modal_split!C$3 * 0.01</f>
        <v>2.5570183134837162E-2</v>
      </c>
      <c r="AP92" s="303">
        <f>INDEX($A$87:$H$100,MATCH($L92,$B$87:$B$100,0),MATCH($AO$86,$A$87:$H$87,0))*고양시_Modal_split!D$3 * 0.01</f>
        <v>4.2948775458263997</v>
      </c>
      <c r="AQ92" s="303">
        <f>INDEX($A$87:$H$100,MATCH($L92,$B$87:$B$100,0),MATCH($AO$86,$A$87:$H$87,0))*고양시_Modal_split!E$3 * 0.01</f>
        <v>0.51962265013294096</v>
      </c>
      <c r="AR92" s="303">
        <f>INDEX($A$87:$H$100,MATCH($L92,$B$87:$B$100,0),MATCH($AO$86,$A$87:$H$87,0))*고양시_Modal_split!F$3 * 0.01</f>
        <v>0.83742349766591717</v>
      </c>
      <c r="AS92" s="303">
        <f>INDEX($A$87:$H$100,MATCH($L92,$B$87:$B$100,0),MATCH($AO$86,$A$87:$H$87,0))*고양시_Modal_split!G$3 * 0.01</f>
        <v>8.4016316014464965E-2</v>
      </c>
      <c r="AT92" s="303">
        <f>INDEX($A$87:$H$100,MATCH($L92,$B$87:$B$100,0),MATCH($AO$86,$A$87:$H$87,0))*고양시_Modal_split!H$3 * 0.01</f>
        <v>9.1322082624418447E-4</v>
      </c>
      <c r="AU92" s="303">
        <f>INDEX($A$87:$H$100,MATCH($L92,$B$87:$B$100,0),MATCH($AO$86,$A$87:$H$87,0))*고양시_Modal_split!I$3 * 0.01</f>
        <v>0.2538753896958833</v>
      </c>
      <c r="AV92" s="303">
        <f>INDEX($A$87:$H$100,MATCH($L92,$B$87:$B$100,0),MATCH($AO$86,$A$87:$H$87,0))*고양시_Modal_split!J$3 * 0.01</f>
        <v>2.7798441950872981</v>
      </c>
      <c r="AW92" s="303">
        <f>INDEX($A$87:$H$100,MATCH($L92,$B$87:$B$100,0),MATCH($AO$86,$A$87:$H$87,0))*고양시_Modal_split!K$3 * 0.01</f>
        <v>1.3698312393662766E-2</v>
      </c>
      <c r="AX92" s="303">
        <f>INDEX($A$87:$H$100,MATCH($L92,$B$87:$B$100,0),MATCH($AO$86,$A$87:$H$87,0))*고양시_Modal_split!L$3 * 0.01</f>
        <v>0.27579268952574371</v>
      </c>
      <c r="AY92" s="303">
        <f>INDEX($A$87:$H$100,MATCH($L92,$B$87:$B$100,0),MATCH($AO$86,$A$87:$H$87,0))*고양시_Modal_split!M$3 * 0.01</f>
        <v>2.1004079003616241E-2</v>
      </c>
      <c r="AZ92" s="303">
        <f>INDEX($A$87:$H$100,MATCH($L92,$B$87:$B$100,0),MATCH($AO$86,$A$87:$H$87,0))*고양시_Modal_split!N$3 * 0.01</f>
        <v>9.1322082624418453E-3</v>
      </c>
      <c r="BA92" s="207">
        <f>INDEX($A$87:$H$100,MATCH($L92,$B$87:$B$100,0),MATCH($AO$86,$A$87:$H$87,0))*고양시_Modal_split!O$3 * 0.01</f>
        <v>1.643797487239532E-2</v>
      </c>
      <c r="BB92" s="207">
        <f>INDEX($A$87:$H$100,MATCH($L92,$B$87:$B$100,0),MATCH($AO$86,$A$87:$H$87,0))*고양시_Modal_split!P$3 * 0.01</f>
        <v>9.1322082624418446</v>
      </c>
      <c r="BC92" s="207">
        <f>INDEX($A$87:$H$100,MATCH($L92,$B$87:$B$100,0),MATCH($BC$86,$A$87:$H$87,0))*고양시_Modal_split!C$3 * 0.01</f>
        <v>4.0183629860928101E-5</v>
      </c>
      <c r="BD92" s="207">
        <f>INDEX($A$87:$H$100,MATCH($L92,$B$87:$B$100,0),MATCH($BC$86,$A$87:$H$87,0))*고양시_Modal_split!D$3 * 0.01</f>
        <v>6.749414686998031E-3</v>
      </c>
      <c r="BE92" s="207">
        <f>INDEX($A$87:$H$100,MATCH($L92,$B$87:$B$100,0),MATCH($BC$86,$A$87:$H$87,0))*고양시_Modal_split!E$3 * 0.01</f>
        <v>8.1658876395957457E-4</v>
      </c>
      <c r="BF92" s="207">
        <f>INDEX($A$87:$H$100,MATCH($L92,$B$87:$B$100,0),MATCH($BC$86,$A$87:$H$87,0))*고양시_Modal_split!F$3 * 0.01</f>
        <v>1.3160138779453954E-3</v>
      </c>
      <c r="BG92" s="207">
        <f>INDEX($A$87:$H$100,MATCH($L92,$B$87:$B$100,0),MATCH($BC$86,$A$87:$H$87,0))*고양시_Modal_split!G$3 * 0.01</f>
        <v>1.3203192668590662E-4</v>
      </c>
      <c r="BH92" s="207">
        <f>INDEX($A$87:$H$100,MATCH($L92,$B$87:$B$100,0),MATCH($BC$86,$A$87:$H$87,0))*고양시_Modal_split!H$3 * 0.01</f>
        <v>1.4351296378902893E-6</v>
      </c>
      <c r="BI92" s="207">
        <f>INDEX($A$87:$H$100,MATCH($L92,$B$87:$B$100,0),MATCH($BC$86,$A$87:$H$87,0))*고양시_Modal_split!I$3 * 0.01</f>
        <v>3.9896603933350038E-4</v>
      </c>
      <c r="BJ92" s="207">
        <f>INDEX($A$87:$H$100,MATCH($L92,$B$87:$B$100,0),MATCH($BC$86,$A$87:$H$87,0))*고양시_Modal_split!J$3 * 0.01</f>
        <v>4.3685346177380407E-3</v>
      </c>
      <c r="BK92" s="207">
        <f>INDEX($A$87:$H$100,MATCH($L92,$B$87:$B$100,0),MATCH($BC$86,$A$87:$H$87,0))*고양시_Modal_split!K$3 * 0.01</f>
        <v>2.152694456835434E-5</v>
      </c>
      <c r="BL92" s="207">
        <f>INDEX($A$87:$H$100,MATCH($L92,$B$87:$B$100,0),MATCH($BC$86,$A$87:$H$87,0))*고양시_Modal_split!L$3 * 0.01</f>
        <v>4.3340915064286737E-4</v>
      </c>
      <c r="BM92" s="207">
        <f>INDEX($A$87:$H$100,MATCH($L92,$B$87:$B$100,0),MATCH($BC$86,$A$87:$H$87,0))*고양시_Modal_split!M$3 * 0.01</f>
        <v>3.3007981671476656E-5</v>
      </c>
      <c r="BN92" s="207">
        <f>INDEX($A$87:$H$100,MATCH($L92,$B$87:$B$100,0),MATCH($BC$86,$A$87:$H$87,0))*고양시_Modal_split!N$3 * 0.01</f>
        <v>1.4351296378902894E-5</v>
      </c>
      <c r="BO92" s="207">
        <f>INDEX($A$87:$H$100,MATCH($L92,$B$87:$B$100,0),MATCH($BC$86,$A$87:$H$87,0))*고양시_Modal_split!O$3 * 0.01</f>
        <v>2.5832333482025207E-5</v>
      </c>
      <c r="BP92" s="207">
        <f>INDEX($A$87:$H$100,MATCH($L92,$B$87:$B$100,0),MATCH($BC$86,$A$87:$H$87,0))*고양시_Modal_split!P$3 * 0.01</f>
        <v>1.4351296378902895E-2</v>
      </c>
      <c r="BQ92" s="207">
        <f>INDEX($A$87:$H$100,MATCH($L92,$B$87:$B$100,0),MATCH($BQ$86,$A$87:$H$87,0))*고양시_Modal_split!C$3 * 0.01</f>
        <v>1.5180482391906122E-4</v>
      </c>
      <c r="BR92" s="207">
        <f>INDEX($A$87:$H$100,MATCH($L92,$B$87:$B$100,0),MATCH($BQ$86,$A$87:$H$87,0))*고양시_Modal_split!D$3 * 0.01</f>
        <v>2.5497788817548033E-2</v>
      </c>
      <c r="BS92" s="207">
        <f>INDEX($A$87:$H$100,MATCH($L92,$B$87:$B$100,0),MATCH($BQ$86,$A$87:$H$87,0))*고양시_Modal_split!E$3 * 0.01</f>
        <v>3.0848908860694941E-3</v>
      </c>
      <c r="BT92" s="207">
        <f>INDEX($A$87:$H$100,MATCH($L92,$B$87:$B$100,0),MATCH($BQ$86,$A$87:$H$87,0))*고양시_Modal_split!F$3 * 0.01</f>
        <v>4.9716079833492547E-3</v>
      </c>
      <c r="BU92" s="207">
        <f>INDEX($A$87:$H$100,MATCH($L92,$B$87:$B$100,0),MATCH($BQ$86,$A$87:$H$87,0))*고양시_Modal_split!G$3 * 0.01</f>
        <v>4.987872785912011E-4</v>
      </c>
      <c r="BV92" s="207">
        <f>INDEX($A$87:$H$100,MATCH($L92,$B$87:$B$100,0),MATCH($BQ$86,$A$87:$H$87,0))*고양시_Modal_split!H$3 * 0.01</f>
        <v>5.4216008542521861E-6</v>
      </c>
      <c r="BW92" s="207">
        <f>INDEX($A$87:$H$100,MATCH($L92,$B$87:$B$100,0),MATCH($BQ$86,$A$87:$H$87,0))*고양시_Modal_split!I$3 * 0.01</f>
        <v>1.5072050374821079E-3</v>
      </c>
      <c r="BX92" s="207">
        <f>INDEX($A$87:$H$100,MATCH($L92,$B$87:$B$100,0),MATCH($BQ$86,$A$87:$H$87,0))*고양시_Modal_split!J$3 * 0.01</f>
        <v>1.6503353000343658E-2</v>
      </c>
      <c r="BY92" s="207">
        <f>INDEX($A$87:$H$100,MATCH($L92,$B$87:$B$100,0),MATCH($BQ$86,$A$87:$H$87,0))*고양시_Modal_split!K$3 * 0.01</f>
        <v>8.13240128137828E-5</v>
      </c>
      <c r="BZ92" s="207">
        <f>INDEX($A$87:$H$100,MATCH($L92,$B$87:$B$100,0),MATCH($BQ$86,$A$87:$H$87,0))*고양시_Modal_split!L$3 * 0.01</f>
        <v>1.6373234579841604E-3</v>
      </c>
      <c r="CA92" s="207">
        <f>INDEX($A$87:$H$100,MATCH($L92,$B$87:$B$100,0),MATCH($BQ$86,$A$87:$H$87,0))*고양시_Modal_split!M$3 * 0.01</f>
        <v>1.2469681964780027E-4</v>
      </c>
      <c r="CB92" s="207">
        <f>INDEX($A$87:$H$100,MATCH($L92,$B$87:$B$100,0),MATCH($BQ$86,$A$87:$H$87,0))*고양시_Modal_split!N$3 * 0.01</f>
        <v>5.4216008542521871E-5</v>
      </c>
      <c r="CC92" s="207">
        <f>INDEX($A$87:$H$100,MATCH($L92,$B$87:$B$100,0),MATCH($BQ$86,$A$87:$H$87,0))*고양시_Modal_split!O$3 * 0.01</f>
        <v>9.758881537653936E-5</v>
      </c>
      <c r="CD92" s="207">
        <f>INDEX($A$87:$H$100,MATCH($L92,$B$87:$B$100,0),MATCH($BQ$86,$A$87:$H$87,0))*고양시_Modal_split!P$3 * 0.01</f>
        <v>5.4216008542521864E-2</v>
      </c>
      <c r="CE92" s="304">
        <f t="shared" si="69"/>
        <v>0.53307603373506984</v>
      </c>
      <c r="CF92" s="304">
        <f t="shared" si="51"/>
        <v>89.537735237715495</v>
      </c>
      <c r="CG92" s="304">
        <f t="shared" si="52"/>
        <v>10.832866542687672</v>
      </c>
      <c r="CH92" s="304">
        <f t="shared" si="53"/>
        <v>17.458240104823542</v>
      </c>
      <c r="CI92" s="304">
        <f t="shared" si="54"/>
        <v>1.7515355394152299</v>
      </c>
      <c r="CJ92" s="304">
        <f t="shared" si="55"/>
        <v>1.9038429776252502E-2</v>
      </c>
      <c r="CK92" s="304">
        <f t="shared" si="56"/>
        <v>5.292683477798195</v>
      </c>
      <c r="CL92" s="304">
        <f t="shared" si="57"/>
        <v>57.952980238912623</v>
      </c>
      <c r="CM92" s="304">
        <f t="shared" si="58"/>
        <v>0.28557644664378745</v>
      </c>
      <c r="CN92" s="304">
        <f t="shared" si="59"/>
        <v>5.7496057924282553</v>
      </c>
      <c r="CO92" s="304">
        <f t="shared" si="60"/>
        <v>0.43788388485380747</v>
      </c>
      <c r="CP92" s="304">
        <f t="shared" si="61"/>
        <v>0.19038429776252497</v>
      </c>
      <c r="CQ92" s="304">
        <f t="shared" si="62"/>
        <v>0.34269173597254499</v>
      </c>
      <c r="CR92" s="304">
        <f t="shared" si="63"/>
        <v>190.38429776252497</v>
      </c>
      <c r="CS92" s="305">
        <f t="shared" si="70"/>
        <v>0</v>
      </c>
      <c r="CV92" s="265" t="s">
        <v>12</v>
      </c>
      <c r="CW92" s="265" t="s">
        <v>12</v>
      </c>
      <c r="CX92" s="267">
        <f>INDEX($M$86:$Z$100,MATCH($CW92,$L$86:$L$100,0),MATCH(CX$87,$M$87:$Z$87,0))/INDEX(고양시_재차인원!$D$4:$H$35,MATCH("고양시",고양시_재차인원!$B$4:$B$35,0),MATCH($CX$86,고양시_재차인원!$D$4:$H$4,0))</f>
        <v>9.2362525984573693</v>
      </c>
      <c r="CY92" s="267">
        <f>INDEX($M$86:$Z$100,MATCH($CW92,$L$86:$L$100,0),MATCH(CY$87,$M$87:$Z$87,0))/INDEX(고양시_재차인원!$K$4:$O$20,MATCH("경기도",고양시_재차인원!$K$4:$K$20,0),MATCH($CY$87,고양시_재차인원!$K$4:$O$4,0))</f>
        <v>7.6400672398049227E-5</v>
      </c>
      <c r="CZ92" s="267">
        <f>INDEX($M$86:$Z$100,MATCH($CW92,$L$86:$L$100,0),MATCH(CZ$87,$M$87:$Z$87,0))/INDEX(고양시_재차인원!$K$4:$O$20,MATCH("경기도",고양시_재차인원!$K$4:$K$20,0),MATCH($CZ$87,고양시_재차인원!$K$4:$O$4,0))</f>
        <v>2.123938692665768E-2</v>
      </c>
      <c r="DA92" s="267">
        <f>INDEX($M$86:$Z$100,MATCH($CW92,$L$86:$L$100,0),MATCH(DA$87,$M$87:$Z$87,0))/INDEX(고양시_재차인원!$D$4:$H$35,MATCH("고양시",고양시_재차인원!$B$4:$B$35,0),MATCH($CX$86,고양시_재차인원!$D$4:$H$4,0))</f>
        <v>0.5930997841237774</v>
      </c>
      <c r="DB92" s="267">
        <f>INDEX($AA$86:$AN$100,MATCH($CW92,$L$86:$L$100,0),MATCH(DB$87,$AA$87:$AN$87,0))/INDEX(고양시_재차인원!$D$4:$H$35,MATCH("고양시",고양시_재차인원!$B$4:$B$35,0),MATCH($DB$86,고양시_재차인원!$D$4:$H$4,0))</f>
        <v>53.096459275256954</v>
      </c>
      <c r="DC92" s="267">
        <f>INDEX($AA$86:$AN$100,MATCH($CW92,$L$86:$L$100,0),MATCH(DC$87,$AA$87:$AN$87,0))/INDEX(고양시_재차인원!$K$4:$O$20,MATCH("경기도",고양시_재차인원!$K$4:$K$20,0),MATCH(DC$87,고양시_재차인원!$K$4:$O$4,0))</f>
        <v>5.5292729632429099E-4</v>
      </c>
      <c r="DD92" s="267">
        <f>INDEX($AA$86:$AN$100,MATCH($CW92,$L$86:$L$100,0),MATCH(DD$87,$AA$87:$AN$87,0))/INDEX(고양시_재차인원!$K$4:$O$20,MATCH("경기도",고양시_재차인원!$K$4:$K$20,0),MATCH(DD$87,고양시_재차인원!$K$4:$O$4,0))</f>
        <v>0.15371378837815286</v>
      </c>
      <c r="DE92" s="267">
        <f>INDEX($AA$86:$AN$100,MATCH($CW92,$L$86:$L$100,0),MATCH(DE$87,$AA$87:$AN$87,0))/INDEX(고양시_재차인원!$D$4:$H$35,MATCH("고양시",고양시_재차인원!$B$4:$B$35,0),MATCH($DB$86,고양시_재차인원!$D$4:$H$4,0))</f>
        <v>3.4095536255852861</v>
      </c>
      <c r="DF92" s="267">
        <f>INDEX($AO$86:$BB$100,MATCH($CW92,$L$86:$L$100,0),MATCH(DF$87,$AO$87:$BB$87,0))/INDEX(고양시_재차인원!$D$4:$H$35,MATCH("고양시",고양시_재차인원!$B$4:$B$35,0),MATCH($DF$86,고양시_재차인원!$D$4:$H$4,0))</f>
        <v>3.3037519583279997</v>
      </c>
      <c r="DG92" s="267">
        <f>INDEX($AO$86:$BB$100,MATCH($CW92,$L$86:$L$100,0),MATCH(DG$87,$AO$87:$BB$87,0))/INDEX(고양시_재차인원!$K$4:$O$20,MATCH("경기도",고양시_재차인원!$K$4:$K$20,0),MATCH(DG$87,고양시_재차인원!$K$4:$O$4,0))</f>
        <v>3.1720070380138398E-5</v>
      </c>
      <c r="DH92" s="267">
        <f>INDEX($AO$86:$BB$100,MATCH($CW92,$L$86:$L$100,0),MATCH(DH$87,$AO$87:$BB$87,0))/INDEX(고양시_재차인원!$K$4:$O$20,MATCH("경기도",고양시_재차인원!$K$4:$K$20,0),MATCH(DH$87,고양시_재차인원!$K$4:$O$4,0))</f>
        <v>8.8181795656784752E-3</v>
      </c>
      <c r="DI92" s="267">
        <f>INDEX($AO$86:$BB$100,MATCH($CW92,$L$86:$L$100,0),MATCH(DI$87,$AO$87:$BB$87,0))/INDEX(고양시_재차인원!$D$4:$H$35,MATCH("고양시",고양시_재차인원!$B$4:$B$35,0),MATCH($DF$86,고양시_재차인원!$D$4:$H$4,0))</f>
        <v>0.21214822271211053</v>
      </c>
      <c r="DJ92" s="267">
        <f>INDEX($BC$86:$BP$100,MATCH($CW92,$L$86:$L$100,0),MATCH(DJ$87,$BC$87:$BP$87,0))/INDEX(고양시_재차인원!$D$4:$H$35,MATCH("고양시",고양시_재차인원!$B$4:$B$35,0),MATCH($DJ$86,고양시_재차인원!$D$4:$H$4,0))</f>
        <v>4.9628049169103162E-3</v>
      </c>
      <c r="DK92" s="267">
        <f>INDEX($BC$86:$BP$100,MATCH($CW92,$L$86:$L$100,0),MATCH(DK$87,$BC$87:$BP$87,0))/INDEX(고양시_재차인원!$K$4:$O$20,MATCH("경기도",고양시_재차인원!$K$4:$K$20,0),MATCH(DK$87,고양시_재차인원!$K$4:$O$4,0))</f>
        <v>4.9848198606817971E-8</v>
      </c>
      <c r="DL92" s="267">
        <f>INDEX($BC$86:$BP$100,MATCH($CW92,$L$86:$L$100,0),MATCH(DL$87,$BC$87:$BP$87,0))/INDEX(고양시_재차인원!$K$4:$O$20,MATCH("경기도",고양시_재차인원!$K$4:$K$20,0),MATCH(DL$87,고양시_재차인원!$K$4:$O$4,0))</f>
        <v>1.3857799212695394E-5</v>
      </c>
      <c r="DM92" s="267">
        <f>INDEX($BC$86:$BP$100,MATCH($CW92,$L$86:$L$100,0),MATCH(DM$87,$BC$87:$BP$87,0))/INDEX(고양시_재차인원!$D$4:$H$35,MATCH("고양시",고양시_재차인원!$B$4:$B$35,0),MATCH($DJ$86,고양시_재차인원!$D$4:$H$4,0))</f>
        <v>3.1868319900210836E-4</v>
      </c>
      <c r="DN92" s="267">
        <f>INDEX($BQ$86:$CD$100,MATCH($CW92,$L$86:$L$100,0),MATCH(DN$87,$BQ$87:$CD$87,0))/INDEX(고양시_재차인원!$D$4:$H$35,MATCH("고양시",고양시_재차인원!$B$4:$B$35,0),MATCH($DN$86,고양시_재차인원!$D$4:$H$4,0))</f>
        <v>2.0236340331387329E-2</v>
      </c>
      <c r="DO92" s="267">
        <f>INDEX($BQ$86:$CD$100,MATCH($CW92,$L$86:$L$100,0),MATCH(DO$87,$BQ$87:$CD$87,0))/INDEX(고양시_재차인원!$K$4:$O$20,MATCH("경기도",고양시_재차인원!$K$4:$K$20,0),MATCH(DO$87,고양시_재차인원!$K$4:$O$4,0))</f>
        <v>1.8831541695908948E-7</v>
      </c>
      <c r="DP92" s="267">
        <f>INDEX($BQ$86:$CD$100,MATCH($CW92,$L$86:$L$100,0),MATCH(DP$87,$BQ$87:$CD$87,0))/INDEX(고양시_재차인원!$K$4:$O$20,MATCH("경기도",고양시_재차인원!$K$4:$K$20,0),MATCH(DP$87,고양시_재차인원!$K$4:$O$4,0))</f>
        <v>5.2351685914626882E-5</v>
      </c>
      <c r="DQ92" s="267">
        <f>INDEX($BQ$86:$CD$100,MATCH($CW92,$L$86:$L$100,0),MATCH(DQ$87,$BQ$87:$CD$87,0))/INDEX(고양시_재차인원!$D$4:$H$35,MATCH("고양시",고양시_재차인원!$B$4:$B$35,0),MATCH($DN$86,고양시_재차인원!$D$4:$H$4,0))</f>
        <v>1.2994630618921906E-3</v>
      </c>
      <c r="DR92" s="270">
        <f t="shared" si="71"/>
        <v>65.661662977290632</v>
      </c>
      <c r="DS92" s="270">
        <f t="shared" si="64"/>
        <v>6.6128620271804458E-4</v>
      </c>
      <c r="DT92" s="270">
        <f t="shared" si="65"/>
        <v>0.18383756435561635</v>
      </c>
      <c r="DU92" s="270">
        <f t="shared" si="66"/>
        <v>4.2164197786820692</v>
      </c>
      <c r="DW92" s="278" t="s">
        <v>12</v>
      </c>
      <c r="DX92" s="278" t="s">
        <v>12</v>
      </c>
      <c r="DY92" s="281">
        <f t="shared" si="72"/>
        <v>69.878082755972699</v>
      </c>
      <c r="DZ92" s="281">
        <f t="shared" si="73"/>
        <v>0.1844988505583344</v>
      </c>
      <c r="EB92" s="278" t="s">
        <v>12</v>
      </c>
      <c r="EC92" s="278" t="s">
        <v>12</v>
      </c>
      <c r="ED92" s="281">
        <f>DY92</f>
        <v>69.878082755972699</v>
      </c>
      <c r="EE92" s="281">
        <f t="shared" ref="EE92:EE93" si="78">DZ92</f>
        <v>0.1844988505583344</v>
      </c>
      <c r="EK92" s="420" t="s">
        <v>622</v>
      </c>
      <c r="EL92" s="420" t="s">
        <v>639</v>
      </c>
      <c r="EM92" s="420" t="s">
        <v>220</v>
      </c>
      <c r="EN92" s="420">
        <v>31514.0893</v>
      </c>
      <c r="EO92" s="420">
        <v>1</v>
      </c>
      <c r="EP92" s="421">
        <v>849005</v>
      </c>
      <c r="EQ92" s="422">
        <f t="shared" si="75"/>
        <v>630.63649239247343</v>
      </c>
      <c r="ER92" s="422">
        <f t="shared" si="76"/>
        <v>1.6650672625474428</v>
      </c>
      <c r="ES92">
        <v>0</v>
      </c>
      <c r="EU92" s="306" t="s">
        <v>622</v>
      </c>
      <c r="EV92" s="306" t="s">
        <v>200</v>
      </c>
      <c r="EW92" s="306" t="s">
        <v>220</v>
      </c>
      <c r="EX92" s="306">
        <v>31514.0893</v>
      </c>
      <c r="EY92" s="306">
        <v>1</v>
      </c>
      <c r="EZ92" s="307">
        <v>849005</v>
      </c>
      <c r="FA92" s="308">
        <f t="shared" si="77"/>
        <v>630.63649239247343</v>
      </c>
      <c r="FB92" s="308">
        <f t="shared" si="68"/>
        <v>1.6650672625474428</v>
      </c>
      <c r="FD92" s="101"/>
      <c r="FE92" s="101"/>
      <c r="FF92" s="101"/>
      <c r="FG92" s="101"/>
      <c r="FH92" s="101"/>
      <c r="FI92" s="374"/>
      <c r="FJ92" s="404"/>
      <c r="FK92" s="404"/>
    </row>
    <row r="93" spans="1:167" ht="25">
      <c r="A93" s="205" t="s">
        <v>13</v>
      </c>
      <c r="B93" s="205" t="s">
        <v>13</v>
      </c>
      <c r="C93" s="201">
        <f>$K34*KTDB_TripDistribution_2040!T$12</f>
        <v>32.692306230506084</v>
      </c>
      <c r="D93" s="201">
        <f>$K34*KTDB_TripDistribution_2040!U$12</f>
        <v>236.60090843783013</v>
      </c>
      <c r="E93" s="201">
        <f>$K34*KTDB_TripDistribution_2040!V$12</f>
        <v>13.573208480651649</v>
      </c>
      <c r="F93" s="201">
        <f>$K34*KTDB_TripDistribution_2040!W$12</f>
        <v>2.1330343343088046E-2</v>
      </c>
      <c r="G93" s="201">
        <f>$K34*KTDB_TripDistribution_2040!X$12</f>
        <v>8.0581297073887906E-2</v>
      </c>
      <c r="H93" s="201">
        <f>$K34*KTDB_TripDistribution_2040!Y$12</f>
        <v>282.96833478940488</v>
      </c>
      <c r="K93" s="206" t="s">
        <v>13</v>
      </c>
      <c r="L93" s="206" t="s">
        <v>13</v>
      </c>
      <c r="M93" s="206">
        <f>INDEX($A$87:$H$100,MATCH($L93,$B$87:$B$100,0),MATCH($M$86,$A$87:$H$87,0))*고양시_Modal_split!C$3 * 0.01</f>
        <v>9.153845744541704E-2</v>
      </c>
      <c r="N93" s="206">
        <f>INDEX($A$87:$H$100,MATCH($L93,$B$87:$B$100,0),MATCH($M$86,$A$87:$H$87,0))*고양시_Modal_split!D$3 * 0.01</f>
        <v>15.37519162020701</v>
      </c>
      <c r="O93" s="206">
        <f>INDEX($A$87:$H$100,MATCH($L93,$B$87:$B$100,0),MATCH($M$86,$A$87:$H$87,0))*고양시_Modal_split!E$3 * 0.01</f>
        <v>1.860192224515796</v>
      </c>
      <c r="P93" s="206">
        <f>INDEX($A$87:$H$100,MATCH($L93,$B$87:$B$100,0),MATCH($M$86,$A$87:$H$87,0))*고양시_Modal_split!F$3 * 0.01</f>
        <v>2.9978844813374081</v>
      </c>
      <c r="Q93" s="206">
        <f>INDEX($A$87:$H$100,MATCH($L93,$B$87:$B$100,0),MATCH($M$86,$A$87:$H$87,0))*고양시_Modal_split!G$3 * 0.01</f>
        <v>0.30076921732065598</v>
      </c>
      <c r="R93" s="206">
        <f>INDEX($A$87:$H$100,MATCH($L93,$B$87:$B$100,0),MATCH($M$86,$A$87:$H$87,0))*고양시_Modal_split!H$3 * 0.01</f>
        <v>3.2692306230506086E-3</v>
      </c>
      <c r="S93" s="206">
        <f>INDEX($A$87:$H$100,MATCH($L93,$B$87:$B$100,0),MATCH($M$86,$A$87:$H$87,0))*고양시_Modal_split!I$3 * 0.01</f>
        <v>0.90884611320806918</v>
      </c>
      <c r="T93" s="206">
        <f>INDEX($A$87:$H$100,MATCH($L93,$B$87:$B$100,0),MATCH($M$86,$A$87:$H$87,0))*고양시_Modal_split!J$3 * 0.01</f>
        <v>9.9515380165660527</v>
      </c>
      <c r="U93" s="206">
        <f>INDEX($A$87:$H$100,MATCH($L93,$B$87:$B$100,0),MATCH($M$86,$A$87:$H$87,0))*고양시_Modal_split!K$3 * 0.01</f>
        <v>4.9038459345759122E-2</v>
      </c>
      <c r="V93" s="206">
        <f>INDEX($A$87:$H$100,MATCH($L93,$B$87:$B$100,0),MATCH($M$86,$A$87:$H$87,0))*고양시_Modal_split!L$3 * 0.01</f>
        <v>0.98730764816128369</v>
      </c>
      <c r="W93" s="206">
        <f>INDEX($A$87:$H$100,MATCH($L93,$B$87:$B$100,0),MATCH($M$86,$A$87:$H$87,0))*고양시_Modal_split!M$3 * 0.01</f>
        <v>7.5192304330163995E-2</v>
      </c>
      <c r="X93" s="206">
        <f>INDEX($A$87:$H$100,MATCH($L93,$B$87:$B$100,0),MATCH($M$86,$A$87:$H$87,0))*고양시_Modal_split!N$3 * 0.01</f>
        <v>3.2692306230506091E-2</v>
      </c>
      <c r="Y93" s="206">
        <f>INDEX($A$87:$H$100,MATCH($L93,$B$87:$B$100,0),MATCH($M$86,$A$87:$H$87,0))*고양시_Modal_split!O$3 * 0.01</f>
        <v>5.8846151214910949E-2</v>
      </c>
      <c r="Z93" s="209">
        <f>INDEX($A$87:$H$100,MATCH($L93,$B$87:$B$100,0),MATCH($M$86,$A$87:$H$87,0))*고양시_Modal_split!P$3 * 0.01</f>
        <v>32.692306230506084</v>
      </c>
      <c r="AA93" s="207">
        <f>INDEX($A$87:$H$100,MATCH($L93,$B$87:$B$100,0),MATCH($AA$86,$A$87:$H$87,0))*고양시_Modal_split!C$3 * 0.01</f>
        <v>0.6624825436259244</v>
      </c>
      <c r="AB93" s="207">
        <f>INDEX($A$87:$H$100,MATCH($L93,$B$87:$B$100,0),MATCH($AA$86,$A$87:$H$87,0))*고양시_Modal_split!D$3 * 0.01</f>
        <v>111.27340723831152</v>
      </c>
      <c r="AC93" s="207">
        <f>INDEX($A$87:$H$100,MATCH($L93,$B$87:$B$100,0),MATCH($AA$86,$A$87:$H$87,0))*고양시_Modal_split!E$3 * 0.01</f>
        <v>13.462591690112534</v>
      </c>
      <c r="AD93" s="207">
        <f>INDEX($A$87:$H$100,MATCH($L93,$B$87:$B$100,0),MATCH($AA$86,$A$87:$H$87,0))*고양시_Modal_split!F$3 * 0.01</f>
        <v>21.696303303749023</v>
      </c>
      <c r="AE93" s="207">
        <f>INDEX($A$87:$H$100,MATCH($L93,$B$87:$B$100,0),MATCH($AA$86,$A$87:$H$87,0))*고양시_Modal_split!G$3 * 0.01</f>
        <v>2.1767283576280372</v>
      </c>
      <c r="AF93" s="207">
        <f>INDEX($A$87:$H$100,MATCH($L93,$B$87:$B$100,0),MATCH($AA$86,$A$87:$H$87,0))*고양시_Modal_split!H$3 * 0.01</f>
        <v>2.3660090843783014E-2</v>
      </c>
      <c r="AG93" s="207">
        <f>INDEX($A$87:$H$100,MATCH($L93,$B$87:$B$100,0),MATCH($AA$86,$A$87:$H$87,0))*고양시_Modal_split!I$3 * 0.01</f>
        <v>6.577505254571677</v>
      </c>
      <c r="AH93" s="207">
        <f>INDEX($A$87:$H$100,MATCH($L93,$B$87:$B$100,0),MATCH($AA$86,$A$87:$H$87,0))*고양시_Modal_split!J$3 * 0.01</f>
        <v>72.021316528475495</v>
      </c>
      <c r="AI93" s="207">
        <f>INDEX($A$87:$H$100,MATCH($L93,$B$87:$B$100,0),MATCH($AA$86,$A$87:$H$87,0))*고양시_Modal_split!K$3 * 0.01</f>
        <v>0.35490136265674516</v>
      </c>
      <c r="AJ93" s="207">
        <f>INDEX($A$87:$H$100,MATCH($L93,$B$87:$B$100,0),MATCH($AA$86,$A$87:$H$87,0))*고양시_Modal_split!L$3 * 0.01</f>
        <v>7.1453474348224697</v>
      </c>
      <c r="AK93" s="207">
        <f>INDEX($A$87:$H$100,MATCH($L93,$B$87:$B$100,0),MATCH($AA$86,$A$87:$H$87,0))*고양시_Modal_split!M$3 * 0.01</f>
        <v>0.5441820894070093</v>
      </c>
      <c r="AL93" s="207">
        <f>INDEX($A$87:$H$100,MATCH($L93,$B$87:$B$100,0),MATCH($AA$86,$A$87:$H$87,0))*고양시_Modal_split!N$3 * 0.01</f>
        <v>0.23660090843783013</v>
      </c>
      <c r="AM93" s="207">
        <f>INDEX($A$87:$H$100,MATCH($L93,$B$87:$B$100,0),MATCH($AA$86,$A$87:$H$87,0))*고양시_Modal_split!O$3 * 0.01</f>
        <v>0.42588163518809424</v>
      </c>
      <c r="AN93" s="207">
        <f>INDEX($A$87:$H$100,MATCH($L93,$B$87:$B$100,0),MATCH($AA$86,$A$87:$H$87,0))*고양시_Modal_split!P$3 * 0.01</f>
        <v>236.60090843783013</v>
      </c>
      <c r="AO93" s="303">
        <f>INDEX($A$87:$H$100,MATCH($L93,$B$87:$B$100,0),MATCH($AO$86,$A$87:$H$87,0))*고양시_Modal_split!C$3 * 0.01</f>
        <v>3.800498374582461E-2</v>
      </c>
      <c r="AP93" s="303">
        <f>INDEX($A$87:$H$100,MATCH($L93,$B$87:$B$100,0),MATCH($AO$86,$A$87:$H$87,0))*고양시_Modal_split!D$3 * 0.01</f>
        <v>6.3834799484504714</v>
      </c>
      <c r="AQ93" s="303">
        <f>INDEX($A$87:$H$100,MATCH($L93,$B$87:$B$100,0),MATCH($AO$86,$A$87:$H$87,0))*고양시_Modal_split!E$3 * 0.01</f>
        <v>0.77231556254907874</v>
      </c>
      <c r="AR93" s="303">
        <f>INDEX($A$87:$H$100,MATCH($L93,$B$87:$B$100,0),MATCH($AO$86,$A$87:$H$87,0))*고양시_Modal_split!F$3 * 0.01</f>
        <v>1.2446632176757562</v>
      </c>
      <c r="AS93" s="303">
        <f>INDEX($A$87:$H$100,MATCH($L93,$B$87:$B$100,0),MATCH($AO$86,$A$87:$H$87,0))*고양시_Modal_split!G$3 * 0.01</f>
        <v>0.12487351802199516</v>
      </c>
      <c r="AT93" s="303">
        <f>INDEX($A$87:$H$100,MATCH($L93,$B$87:$B$100,0),MATCH($AO$86,$A$87:$H$87,0))*고양시_Modal_split!H$3 * 0.01</f>
        <v>1.3573208480651649E-3</v>
      </c>
      <c r="AU93" s="303">
        <f>INDEX($A$87:$H$100,MATCH($L93,$B$87:$B$100,0),MATCH($AO$86,$A$87:$H$87,0))*고양시_Modal_split!I$3 * 0.01</f>
        <v>0.37733519576211583</v>
      </c>
      <c r="AV93" s="303">
        <f>INDEX($A$87:$H$100,MATCH($L93,$B$87:$B$100,0),MATCH($AO$86,$A$87:$H$87,0))*고양시_Modal_split!J$3 * 0.01</f>
        <v>4.131684661510362</v>
      </c>
      <c r="AW93" s="303">
        <f>INDEX($A$87:$H$100,MATCH($L93,$B$87:$B$100,0),MATCH($AO$86,$A$87:$H$87,0))*고양시_Modal_split!K$3 * 0.01</f>
        <v>2.0359812720977474E-2</v>
      </c>
      <c r="AX93" s="303">
        <f>INDEX($A$87:$H$100,MATCH($L93,$B$87:$B$100,0),MATCH($AO$86,$A$87:$H$87,0))*고양시_Modal_split!L$3 * 0.01</f>
        <v>0.40991089611567982</v>
      </c>
      <c r="AY93" s="303">
        <f>INDEX($A$87:$H$100,MATCH($L93,$B$87:$B$100,0),MATCH($AO$86,$A$87:$H$87,0))*고양시_Modal_split!M$3 * 0.01</f>
        <v>3.121837950549879E-2</v>
      </c>
      <c r="AZ93" s="303">
        <f>INDEX($A$87:$H$100,MATCH($L93,$B$87:$B$100,0),MATCH($AO$86,$A$87:$H$87,0))*고양시_Modal_split!N$3 * 0.01</f>
        <v>1.357320848065165E-2</v>
      </c>
      <c r="BA93" s="207">
        <f>INDEX($A$87:$H$100,MATCH($L93,$B$87:$B$100,0),MATCH($AO$86,$A$87:$H$87,0))*고양시_Modal_split!O$3 * 0.01</f>
        <v>2.443177526517297E-2</v>
      </c>
      <c r="BB93" s="207">
        <f>INDEX($A$87:$H$100,MATCH($L93,$B$87:$B$100,0),MATCH($AO$86,$A$87:$H$87,0))*고양시_Modal_split!P$3 * 0.01</f>
        <v>13.573208480651649</v>
      </c>
      <c r="BC93" s="207">
        <f>INDEX($A$87:$H$100,MATCH($L93,$B$87:$B$100,0),MATCH($BC$86,$A$87:$H$87,0))*고양시_Modal_split!C$3 * 0.01</f>
        <v>5.9724961360646525E-5</v>
      </c>
      <c r="BD93" s="207">
        <f>INDEX($A$87:$H$100,MATCH($L93,$B$87:$B$100,0),MATCH($BC$86,$A$87:$H$87,0))*고양시_Modal_split!D$3 * 0.01</f>
        <v>1.0031660474254309E-2</v>
      </c>
      <c r="BE93" s="207">
        <f>INDEX($A$87:$H$100,MATCH($L93,$B$87:$B$100,0),MATCH($BC$86,$A$87:$H$87,0))*고양시_Modal_split!E$3 * 0.01</f>
        <v>1.2136965362217098E-3</v>
      </c>
      <c r="BF93" s="207">
        <f>INDEX($A$87:$H$100,MATCH($L93,$B$87:$B$100,0),MATCH($BC$86,$A$87:$H$87,0))*고양시_Modal_split!F$3 * 0.01</f>
        <v>1.9559924845611739E-3</v>
      </c>
      <c r="BG93" s="207">
        <f>INDEX($A$87:$H$100,MATCH($L93,$B$87:$B$100,0),MATCH($BC$86,$A$87:$H$87,0))*고양시_Modal_split!G$3 * 0.01</f>
        <v>1.9623915875641E-4</v>
      </c>
      <c r="BH93" s="207">
        <f>INDEX($A$87:$H$100,MATCH($L93,$B$87:$B$100,0),MATCH($BC$86,$A$87:$H$87,0))*고양시_Modal_split!H$3 * 0.01</f>
        <v>2.1330343343088045E-6</v>
      </c>
      <c r="BI93" s="207">
        <f>INDEX($A$87:$H$100,MATCH($L93,$B$87:$B$100,0),MATCH($BC$86,$A$87:$H$87,0))*고양시_Modal_split!I$3 * 0.01</f>
        <v>5.9298354493784761E-4</v>
      </c>
      <c r="BJ93" s="207">
        <f>INDEX($A$87:$H$100,MATCH($L93,$B$87:$B$100,0),MATCH($BC$86,$A$87:$H$87,0))*고양시_Modal_split!J$3 * 0.01</f>
        <v>6.4929565136360012E-3</v>
      </c>
      <c r="BK93" s="207">
        <f>INDEX($A$87:$H$100,MATCH($L93,$B$87:$B$100,0),MATCH($BC$86,$A$87:$H$87,0))*고양시_Modal_split!K$3 * 0.01</f>
        <v>3.1995515014632064E-5</v>
      </c>
      <c r="BL93" s="207">
        <f>INDEX($A$87:$H$100,MATCH($L93,$B$87:$B$100,0),MATCH($BC$86,$A$87:$H$87,0))*고양시_Modal_split!L$3 * 0.01</f>
        <v>6.44176368961259E-4</v>
      </c>
      <c r="BM93" s="207">
        <f>INDEX($A$87:$H$100,MATCH($L93,$B$87:$B$100,0),MATCH($BC$86,$A$87:$H$87,0))*고양시_Modal_split!M$3 * 0.01</f>
        <v>4.90597896891025E-5</v>
      </c>
      <c r="BN93" s="207">
        <f>INDEX($A$87:$H$100,MATCH($L93,$B$87:$B$100,0),MATCH($BC$86,$A$87:$H$87,0))*고양시_Modal_split!N$3 * 0.01</f>
        <v>2.1330343343088048E-5</v>
      </c>
      <c r="BO93" s="207">
        <f>INDEX($A$87:$H$100,MATCH($L93,$B$87:$B$100,0),MATCH($BC$86,$A$87:$H$87,0))*고양시_Modal_split!O$3 * 0.01</f>
        <v>3.8394618017558481E-5</v>
      </c>
      <c r="BP93" s="207">
        <f>INDEX($A$87:$H$100,MATCH($L93,$B$87:$B$100,0),MATCH($BC$86,$A$87:$H$87,0))*고양시_Modal_split!P$3 * 0.01</f>
        <v>2.1330343343088046E-2</v>
      </c>
      <c r="BQ93" s="207">
        <f>INDEX($A$87:$H$100,MATCH($L93,$B$87:$B$100,0),MATCH($BQ$86,$A$87:$H$87,0))*고양시_Modal_split!C$3 * 0.01</f>
        <v>2.2562763180688613E-4</v>
      </c>
      <c r="BR93" s="207">
        <f>INDEX($A$87:$H$100,MATCH($L93,$B$87:$B$100,0),MATCH($BQ$86,$A$87:$H$87,0))*고양시_Modal_split!D$3 * 0.01</f>
        <v>3.7897384013849483E-2</v>
      </c>
      <c r="BS93" s="207">
        <f>INDEX($A$87:$H$100,MATCH($L93,$B$87:$B$100,0),MATCH($BQ$86,$A$87:$H$87,0))*고양시_Modal_split!E$3 * 0.01</f>
        <v>4.5850758035042216E-3</v>
      </c>
      <c r="BT93" s="207">
        <f>INDEX($A$87:$H$100,MATCH($L93,$B$87:$B$100,0),MATCH($BQ$86,$A$87:$H$87,0))*고양시_Modal_split!F$3 * 0.01</f>
        <v>7.3893049416755207E-3</v>
      </c>
      <c r="BU93" s="207">
        <f>INDEX($A$87:$H$100,MATCH($L93,$B$87:$B$100,0),MATCH($BQ$86,$A$87:$H$87,0))*고양시_Modal_split!G$3 * 0.01</f>
        <v>7.4134793307976867E-4</v>
      </c>
      <c r="BV93" s="207">
        <f>INDEX($A$87:$H$100,MATCH($L93,$B$87:$B$100,0),MATCH($BQ$86,$A$87:$H$87,0))*고양시_Modal_split!H$3 * 0.01</f>
        <v>8.0581297073887909E-6</v>
      </c>
      <c r="BW93" s="207">
        <f>INDEX($A$87:$H$100,MATCH($L93,$B$87:$B$100,0),MATCH($BQ$86,$A$87:$H$87,0))*고양시_Modal_split!I$3 * 0.01</f>
        <v>2.2401600586540839E-3</v>
      </c>
      <c r="BX93" s="207">
        <f>INDEX($A$87:$H$100,MATCH($L93,$B$87:$B$100,0),MATCH($BQ$86,$A$87:$H$87,0))*고양시_Modal_split!J$3 * 0.01</f>
        <v>2.4528946829291482E-2</v>
      </c>
      <c r="BY93" s="207">
        <f>INDEX($A$87:$H$100,MATCH($L93,$B$87:$B$100,0),MATCH($BQ$86,$A$87:$H$87,0))*고양시_Modal_split!K$3 * 0.01</f>
        <v>1.2087194561083187E-4</v>
      </c>
      <c r="BZ93" s="207">
        <f>INDEX($A$87:$H$100,MATCH($L93,$B$87:$B$100,0),MATCH($BQ$86,$A$87:$H$87,0))*고양시_Modal_split!L$3 * 0.01</f>
        <v>2.4335551716314148E-3</v>
      </c>
      <c r="CA93" s="207">
        <f>INDEX($A$87:$H$100,MATCH($L93,$B$87:$B$100,0),MATCH($BQ$86,$A$87:$H$87,0))*고양시_Modal_split!M$3 * 0.01</f>
        <v>1.8533698326994217E-4</v>
      </c>
      <c r="CB93" s="207">
        <f>INDEX($A$87:$H$100,MATCH($L93,$B$87:$B$100,0),MATCH($BQ$86,$A$87:$H$87,0))*고양시_Modal_split!N$3 * 0.01</f>
        <v>8.0581297073887903E-5</v>
      </c>
      <c r="CC93" s="207">
        <f>INDEX($A$87:$H$100,MATCH($L93,$B$87:$B$100,0),MATCH($BQ$86,$A$87:$H$87,0))*고양시_Modal_split!O$3 * 0.01</f>
        <v>1.4504633473299823E-4</v>
      </c>
      <c r="CD93" s="207">
        <f>INDEX($A$87:$H$100,MATCH($L93,$B$87:$B$100,0),MATCH($BQ$86,$A$87:$H$87,0))*고양시_Modal_split!P$3 * 0.01</f>
        <v>8.0581297073887906E-2</v>
      </c>
      <c r="CE93" s="304">
        <f t="shared" si="69"/>
        <v>0.79231133741033355</v>
      </c>
      <c r="CF93" s="304">
        <f t="shared" si="51"/>
        <v>133.08000785145711</v>
      </c>
      <c r="CG93" s="304">
        <f t="shared" si="52"/>
        <v>16.100898249517137</v>
      </c>
      <c r="CH93" s="304">
        <f t="shared" si="53"/>
        <v>25.948196300188425</v>
      </c>
      <c r="CI93" s="304">
        <f t="shared" si="54"/>
        <v>2.6033086800625242</v>
      </c>
      <c r="CJ93" s="304">
        <f t="shared" si="55"/>
        <v>2.8296833478940485E-2</v>
      </c>
      <c r="CK93" s="304">
        <f t="shared" si="56"/>
        <v>7.8665197071454536</v>
      </c>
      <c r="CL93" s="304">
        <f t="shared" si="57"/>
        <v>86.135561109894837</v>
      </c>
      <c r="CM93" s="304">
        <f t="shared" si="58"/>
        <v>0.42445250218410724</v>
      </c>
      <c r="CN93" s="304">
        <f t="shared" si="59"/>
        <v>8.5456437106400251</v>
      </c>
      <c r="CO93" s="304">
        <f t="shared" si="60"/>
        <v>0.65082717001563106</v>
      </c>
      <c r="CP93" s="304">
        <f t="shared" si="61"/>
        <v>0.28296833478940481</v>
      </c>
      <c r="CQ93" s="304">
        <f t="shared" si="62"/>
        <v>0.50934300262092869</v>
      </c>
      <c r="CR93" s="304">
        <f t="shared" si="63"/>
        <v>282.96833478940482</v>
      </c>
      <c r="CS93" s="305">
        <f t="shared" si="70"/>
        <v>0</v>
      </c>
      <c r="CV93" s="267" t="s">
        <v>13</v>
      </c>
      <c r="CW93" s="267" t="s">
        <v>13</v>
      </c>
      <c r="CX93" s="267">
        <f>INDEX($M$86:$Z$100,MATCH($CW93,$L$86:$L$100,0),MATCH(CX$87,$M$87:$Z$87,0))/INDEX(고양시_재차인원!$D$4:$H$35,MATCH("고양시",고양시_재차인원!$B$4:$B$35,0),MATCH($CX$86,고양시_재차인원!$D$4:$H$4,0))</f>
        <v>13.727849660899116</v>
      </c>
      <c r="CY93" s="267">
        <f>INDEX($M$86:$Z$100,MATCH($CW93,$L$86:$L$100,0),MATCH(CY$87,$M$87:$Z$87,0))/INDEX(고양시_재차인원!$K$4:$O$20,MATCH("경기도",고양시_재차인원!$K$4:$K$20,0),MATCH($CY$87,고양시_재차인원!$K$4:$O$4,0))</f>
        <v>1.135543807936995E-4</v>
      </c>
      <c r="CZ93" s="267">
        <f>INDEX($M$86:$Z$100,MATCH($CW93,$L$86:$L$100,0),MATCH(CZ$87,$M$87:$Z$87,0))/INDEX(고양시_재차인원!$K$4:$O$20,MATCH("경기도",고양시_재차인원!$K$4:$K$20,0),MATCH($CZ$87,고양시_재차인원!$K$4:$O$4,0))</f>
        <v>3.1568117860648462E-2</v>
      </c>
      <c r="DA93" s="267">
        <f>INDEX($M$86:$Z$100,MATCH($CW93,$L$86:$L$100,0),MATCH(DA$87,$M$87:$Z$87,0))/INDEX(고양시_재차인원!$D$4:$H$35,MATCH("고양시",고양시_재차인원!$B$4:$B$35,0),MATCH($CX$86,고양시_재차인원!$D$4:$H$4,0))</f>
        <v>0.88152468585828891</v>
      </c>
      <c r="DB93" s="267">
        <f>INDEX($AA$86:$AN$100,MATCH($CW93,$L$86:$L$100,0),MATCH(DB$87,$AA$87:$AN$87,0))/INDEX(고양시_재차인원!$D$4:$H$35,MATCH("고양시",고양시_재차인원!$B$4:$B$35,0),MATCH($DB$86,고양시_재차인원!$D$4:$H$4,0))</f>
        <v>78.917310098093282</v>
      </c>
      <c r="DC93" s="267">
        <f>INDEX($AA$86:$AN$100,MATCH($CW93,$L$86:$L$100,0),MATCH(DC$87,$AA$87:$AN$87,0))/INDEX(고양시_재차인원!$K$4:$O$20,MATCH("경기도",고양시_재차인원!$K$4:$K$20,0),MATCH(DC$87,고양시_재차인원!$K$4:$O$4,0))</f>
        <v>8.2181628495251878E-4</v>
      </c>
      <c r="DD93" s="267">
        <f>INDEX($AA$86:$AN$100,MATCH($CW93,$L$86:$L$100,0),MATCH(DD$87,$AA$87:$AN$87,0))/INDEX(고양시_재차인원!$K$4:$O$20,MATCH("경기도",고양시_재차인원!$K$4:$K$20,0),MATCH(DD$87,고양시_재차인원!$K$4:$O$4,0))</f>
        <v>0.22846492721680017</v>
      </c>
      <c r="DE93" s="267">
        <f>INDEX($AA$86:$AN$100,MATCH($CW93,$L$86:$L$100,0),MATCH(DE$87,$AA$87:$AN$87,0))/INDEX(고양시_재차인원!$D$4:$H$35,MATCH("고양시",고양시_재차인원!$B$4:$B$35,0),MATCH($DB$86,고양시_재차인원!$D$4:$H$4,0))</f>
        <v>5.0676222942003335</v>
      </c>
      <c r="DF93" s="267">
        <f>INDEX($AO$86:$BB$100,MATCH($CW93,$L$86:$L$100,0),MATCH(DF$87,$AO$87:$BB$87,0))/INDEX(고양시_재차인원!$D$4:$H$35,MATCH("고양시",고양시_재차인원!$B$4:$B$35,0),MATCH($DF$86,고양시_재차인원!$D$4:$H$4,0))</f>
        <v>4.9103691911157474</v>
      </c>
      <c r="DG93" s="267">
        <f>INDEX($AO$86:$BB$100,MATCH($CW93,$L$86:$L$100,0),MATCH(DG$87,$AO$87:$BB$87,0))/INDEX(고양시_재차인원!$K$4:$O$20,MATCH("경기도",고양시_재차인원!$K$4:$K$20,0),MATCH(DG$87,고양시_재차인원!$K$4:$O$4,0))</f>
        <v>4.7145566101603504E-5</v>
      </c>
      <c r="DH93" s="267">
        <f>INDEX($AO$86:$BB$100,MATCH($CW93,$L$86:$L$100,0),MATCH(DH$87,$AO$87:$BB$87,0))/INDEX(고양시_재차인원!$K$4:$O$20,MATCH("경기도",고양시_재차인원!$K$4:$K$20,0),MATCH(DH$87,고양시_재차인원!$K$4:$O$4,0))</f>
        <v>1.3106467376245774E-2</v>
      </c>
      <c r="DI93" s="267">
        <f>INDEX($AO$86:$BB$100,MATCH($CW93,$L$86:$L$100,0),MATCH(DI$87,$AO$87:$BB$87,0))/INDEX(고양시_재차인원!$D$4:$H$35,MATCH("고양시",고양시_재차인원!$B$4:$B$35,0),MATCH($DF$86,고양시_재차인원!$D$4:$H$4,0))</f>
        <v>0.31531607393513833</v>
      </c>
      <c r="DJ93" s="267">
        <f>INDEX($BC$86:$BP$100,MATCH($CW93,$L$86:$L$100,0),MATCH(DJ$87,$BC$87:$BP$87,0))/INDEX(고양시_재차인원!$D$4:$H$35,MATCH("고양시",고양시_재차인원!$B$4:$B$35,0),MATCH($DJ$86,고양시_재차인원!$D$4:$H$4,0))</f>
        <v>7.376220936951697E-3</v>
      </c>
      <c r="DK93" s="267">
        <f>INDEX($BC$86:$BP$100,MATCH($CW93,$L$86:$L$100,0),MATCH(DK$87,$BC$87:$BP$87,0))/INDEX(고양시_재차인원!$K$4:$O$20,MATCH("경기도",고양시_재차인원!$K$4:$K$20,0),MATCH(DK$87,고양시_재차인원!$K$4:$O$4,0))</f>
        <v>7.4089417655741739E-8</v>
      </c>
      <c r="DL93" s="267">
        <f>INDEX($BC$86:$BP$100,MATCH($CW93,$L$86:$L$100,0),MATCH(DL$87,$BC$87:$BP$87,0))/INDEX(고양시_재차인원!$K$4:$O$20,MATCH("경기도",고양시_재차인원!$K$4:$K$20,0),MATCH(DL$87,고양시_재차인원!$K$4:$O$4,0))</f>
        <v>2.0596858108296203E-5</v>
      </c>
      <c r="DM93" s="267">
        <f>INDEX($BC$86:$BP$100,MATCH($CW93,$L$86:$L$100,0),MATCH(DM$87,$BC$87:$BP$87,0))/INDEX(고양시_재차인원!$D$4:$H$35,MATCH("고양시",고양시_재차인원!$B$4:$B$35,0),MATCH($DJ$86,고양시_재차인원!$D$4:$H$4,0))</f>
        <v>4.7365909482445512E-4</v>
      </c>
      <c r="DN93" s="267">
        <f>INDEX($BQ$86:$CD$100,MATCH($CW93,$L$86:$L$100,0),MATCH(DN$87,$BQ$87:$CD$87,0))/INDEX(고양시_재차인원!$D$4:$H$35,MATCH("고양시",고양시_재차인원!$B$4:$B$35,0),MATCH($DN$86,고양시_재차인원!$D$4:$H$4,0))</f>
        <v>3.0077288899880542E-2</v>
      </c>
      <c r="DO93" s="267">
        <f>INDEX($BQ$86:$CD$100,MATCH($CW93,$L$86:$L$100,0),MATCH(DO$87,$BQ$87:$CD$87,0))/INDEX(고양시_재차인원!$K$4:$O$20,MATCH("경기도",고양시_재차인원!$K$4:$K$20,0),MATCH(DO$87,고양시_재차인원!$K$4:$O$4,0))</f>
        <v>2.7989335558835676E-7</v>
      </c>
      <c r="DP93" s="267">
        <f>INDEX($BQ$86:$CD$100,MATCH($CW93,$L$86:$L$100,0),MATCH(DP$87,$BQ$87:$CD$87,0))/INDEX(고양시_재차인원!$K$4:$O$20,MATCH("경기도",고양시_재차인원!$K$4:$K$20,0),MATCH(DP$87,고양시_재차인원!$K$4:$O$4,0))</f>
        <v>7.7810352853563183E-5</v>
      </c>
      <c r="DQ93" s="267">
        <f>INDEX($BQ$86:$CD$100,MATCH($CW93,$L$86:$L$100,0),MATCH(DQ$87,$BQ$87:$CD$87,0))/INDEX(고양시_재차인원!$D$4:$H$35,MATCH("고양시",고양시_재차인원!$B$4:$B$35,0),MATCH($DN$86,고양시_재차인원!$D$4:$H$4,0))</f>
        <v>1.9313929933582657E-3</v>
      </c>
      <c r="DR93" s="270">
        <f t="shared" si="71"/>
        <v>97.592982459944963</v>
      </c>
      <c r="DS93" s="270">
        <f t="shared" si="64"/>
        <v>9.8287021462106598E-4</v>
      </c>
      <c r="DT93" s="270">
        <f t="shared" si="65"/>
        <v>0.27323791966465621</v>
      </c>
      <c r="DU93" s="270">
        <f t="shared" si="66"/>
        <v>6.2668681060819438</v>
      </c>
      <c r="DW93" s="278" t="s">
        <v>13</v>
      </c>
      <c r="DX93" s="278" t="s">
        <v>13</v>
      </c>
      <c r="DY93" s="281">
        <f t="shared" si="72"/>
        <v>103.85985056602691</v>
      </c>
      <c r="DZ93" s="281">
        <f t="shared" si="73"/>
        <v>0.27422078987927728</v>
      </c>
      <c r="EB93" s="278" t="s">
        <v>13</v>
      </c>
      <c r="EC93" s="278" t="s">
        <v>13</v>
      </c>
      <c r="ED93" s="281">
        <f t="shared" ref="ED93" si="79">DY93</f>
        <v>103.85985056602691</v>
      </c>
      <c r="EE93" s="281">
        <f t="shared" si="78"/>
        <v>0.27422078987927728</v>
      </c>
      <c r="EK93" s="420" t="s">
        <v>622</v>
      </c>
      <c r="EL93" s="420" t="s">
        <v>640</v>
      </c>
      <c r="EM93" s="420" t="s">
        <v>221</v>
      </c>
      <c r="EN93" s="420">
        <v>32098.9882</v>
      </c>
      <c r="EO93" s="420">
        <v>1</v>
      </c>
      <c r="EP93" s="421">
        <v>849006</v>
      </c>
      <c r="EQ93" s="422">
        <f t="shared" si="75"/>
        <v>642.95194361609731</v>
      </c>
      <c r="ER93" s="422">
        <f t="shared" si="76"/>
        <v>1.6975837041161213</v>
      </c>
      <c r="ES93">
        <v>0</v>
      </c>
      <c r="EU93" s="306" t="s">
        <v>622</v>
      </c>
      <c r="EV93" s="306" t="s">
        <v>201</v>
      </c>
      <c r="EW93" s="306" t="s">
        <v>221</v>
      </c>
      <c r="EX93" s="306">
        <v>32098.9882</v>
      </c>
      <c r="EY93" s="306">
        <v>1</v>
      </c>
      <c r="EZ93" s="307">
        <v>849006</v>
      </c>
      <c r="FA93" s="308">
        <f t="shared" si="77"/>
        <v>642.95194361609731</v>
      </c>
      <c r="FB93" s="308">
        <f t="shared" si="68"/>
        <v>1.6975837041161213</v>
      </c>
      <c r="FD93" s="101"/>
      <c r="FE93" s="101"/>
      <c r="FF93" s="101"/>
      <c r="FG93" s="101"/>
      <c r="FH93" s="101"/>
      <c r="FI93" s="374"/>
      <c r="FJ93" s="404"/>
      <c r="FK93" s="404"/>
    </row>
    <row r="94" spans="1:167">
      <c r="A94" s="205" t="s">
        <v>167</v>
      </c>
      <c r="B94" s="205" t="s">
        <v>167</v>
      </c>
      <c r="C94" s="201">
        <f>$K35*KTDB_TripDistribution_2040!T$12</f>
        <v>135.52655596804416</v>
      </c>
      <c r="D94" s="201">
        <f>$K35*KTDB_TripDistribution_2040!U$12</f>
        <v>980.8334117942494</v>
      </c>
      <c r="E94" s="201">
        <f>$K35*KTDB_TripDistribution_2040!V$12</f>
        <v>56.267985068072427</v>
      </c>
      <c r="F94" s="201">
        <f>$K35*KTDB_TripDistribution_2040!W$12</f>
        <v>8.8425330122691381E-2</v>
      </c>
      <c r="G94" s="201">
        <f>$K35*KTDB_TripDistribution_2040!X$12</f>
        <v>0.33405124713016632</v>
      </c>
      <c r="H94" s="201">
        <f>$K35*KTDB_TripDistribution_2040!Y$12</f>
        <v>1173.050429407619</v>
      </c>
      <c r="I94" s="56"/>
      <c r="J94" s="56"/>
      <c r="K94" s="206" t="s">
        <v>167</v>
      </c>
      <c r="L94" s="206" t="s">
        <v>167</v>
      </c>
      <c r="M94" s="206">
        <f>INDEX($A$87:$H$100,MATCH($L94,$B$87:$B$100,0),MATCH($M$86,$A$87:$H$87,0))*고양시_Modal_split!C$3 * 0.01</f>
        <v>0.3794743567105236</v>
      </c>
      <c r="N94" s="206">
        <f>INDEX($A$87:$H$100,MATCH($L94,$B$87:$B$100,0),MATCH($M$86,$A$87:$H$87,0))*고양시_Modal_split!D$3 * 0.01</f>
        <v>63.738139271771168</v>
      </c>
      <c r="O94" s="206">
        <f>INDEX($A$87:$H$100,MATCH($L94,$B$87:$B$100,0),MATCH($M$86,$A$87:$H$87,0))*고양시_Modal_split!E$3 * 0.01</f>
        <v>7.7114610345817116</v>
      </c>
      <c r="P94" s="206">
        <f>INDEX($A$87:$H$100,MATCH($L94,$B$87:$B$100,0),MATCH($M$86,$A$87:$H$87,0))*고양시_Modal_split!F$3 * 0.01</f>
        <v>12.42778518226965</v>
      </c>
      <c r="Q94" s="206">
        <f>INDEX($A$87:$H$100,MATCH($L94,$B$87:$B$100,0),MATCH($M$86,$A$87:$H$87,0))*고양시_Modal_split!G$3 * 0.01</f>
        <v>1.2468443149060062</v>
      </c>
      <c r="R94" s="206">
        <f>INDEX($A$87:$H$100,MATCH($L94,$B$87:$B$100,0),MATCH($M$86,$A$87:$H$87,0))*고양시_Modal_split!H$3 * 0.01</f>
        <v>1.3552655596804417E-2</v>
      </c>
      <c r="S94" s="206">
        <f>INDEX($A$87:$H$100,MATCH($L94,$B$87:$B$100,0),MATCH($M$86,$A$87:$H$87,0))*고양시_Modal_split!I$3 * 0.01</f>
        <v>3.7676382559116277</v>
      </c>
      <c r="T94" s="206">
        <f>INDEX($A$87:$H$100,MATCH($L94,$B$87:$B$100,0),MATCH($M$86,$A$87:$H$87,0))*고양시_Modal_split!J$3 * 0.01</f>
        <v>41.254283636672646</v>
      </c>
      <c r="U94" s="206">
        <f>INDEX($A$87:$H$100,MATCH($L94,$B$87:$B$100,0),MATCH($M$86,$A$87:$H$87,0))*고양시_Modal_split!K$3 * 0.01</f>
        <v>0.20328983395206623</v>
      </c>
      <c r="V94" s="206">
        <f>INDEX($A$87:$H$100,MATCH($L94,$B$87:$B$100,0),MATCH($M$86,$A$87:$H$87,0))*고양시_Modal_split!L$3 * 0.01</f>
        <v>4.0929019902349335</v>
      </c>
      <c r="W94" s="206">
        <f>INDEX($A$87:$H$100,MATCH($L94,$B$87:$B$100,0),MATCH($M$86,$A$87:$H$87,0))*고양시_Modal_split!M$3 * 0.01</f>
        <v>0.31171107872650156</v>
      </c>
      <c r="X94" s="206">
        <f>INDEX($A$87:$H$100,MATCH($L94,$B$87:$B$100,0),MATCH($M$86,$A$87:$H$87,0))*고양시_Modal_split!N$3 * 0.01</f>
        <v>0.13552655596804417</v>
      </c>
      <c r="Y94" s="206">
        <f>INDEX($A$87:$H$100,MATCH($L94,$B$87:$B$100,0),MATCH($M$86,$A$87:$H$87,0))*고양시_Modal_split!O$3 * 0.01</f>
        <v>0.24394780074247949</v>
      </c>
      <c r="Z94" s="209">
        <f>INDEX($A$87:$H$100,MATCH($L94,$B$87:$B$100,0),MATCH($M$86,$A$87:$H$87,0))*고양시_Modal_split!P$3 * 0.01</f>
        <v>135.52655596804416</v>
      </c>
      <c r="AA94" s="207">
        <f>INDEX($A$87:$H$100,MATCH($L94,$B$87:$B$100,0),MATCH($AA$86,$A$87:$H$87,0))*고양시_Modal_split!C$3 * 0.01</f>
        <v>2.7463335530238981</v>
      </c>
      <c r="AB94" s="207">
        <f>INDEX($A$87:$H$100,MATCH($L94,$B$87:$B$100,0),MATCH($AA$86,$A$87:$H$87,0))*고양시_Modal_split!D$3 * 0.01</f>
        <v>461.28595356683553</v>
      </c>
      <c r="AC94" s="207">
        <f>INDEX($A$87:$H$100,MATCH($L94,$B$87:$B$100,0),MATCH($AA$86,$A$87:$H$87,0))*고양시_Modal_split!E$3 * 0.01</f>
        <v>55.80942113109279</v>
      </c>
      <c r="AD94" s="207">
        <f>INDEX($A$87:$H$100,MATCH($L94,$B$87:$B$100,0),MATCH($AA$86,$A$87:$H$87,0))*고양시_Modal_split!F$3 * 0.01</f>
        <v>89.94242386153266</v>
      </c>
      <c r="AE94" s="207">
        <f>INDEX($A$87:$H$100,MATCH($L94,$B$87:$B$100,0),MATCH($AA$86,$A$87:$H$87,0))*고양시_Modal_split!G$3 * 0.01</f>
        <v>9.0236673885070928</v>
      </c>
      <c r="AF94" s="207">
        <f>INDEX($A$87:$H$100,MATCH($L94,$B$87:$B$100,0),MATCH($AA$86,$A$87:$H$87,0))*고양시_Modal_split!H$3 * 0.01</f>
        <v>9.8083341179424938E-2</v>
      </c>
      <c r="AG94" s="207">
        <f>INDEX($A$87:$H$100,MATCH($L94,$B$87:$B$100,0),MATCH($AA$86,$A$87:$H$87,0))*고양시_Modal_split!I$3 * 0.01</f>
        <v>27.267168847880129</v>
      </c>
      <c r="AH94" s="207">
        <f>INDEX($A$87:$H$100,MATCH($L94,$B$87:$B$100,0),MATCH($AA$86,$A$87:$H$87,0))*고양시_Modal_split!J$3 * 0.01</f>
        <v>298.56569055016956</v>
      </c>
      <c r="AI94" s="207">
        <f>INDEX($A$87:$H$100,MATCH($L94,$B$87:$B$100,0),MATCH($AA$86,$A$87:$H$87,0))*고양시_Modal_split!K$3 * 0.01</f>
        <v>1.4712501176913741</v>
      </c>
      <c r="AJ94" s="207">
        <f>INDEX($A$87:$H$100,MATCH($L94,$B$87:$B$100,0),MATCH($AA$86,$A$87:$H$87,0))*고양시_Modal_split!L$3 * 0.01</f>
        <v>29.621169036186334</v>
      </c>
      <c r="AK94" s="207">
        <f>INDEX($A$87:$H$100,MATCH($L94,$B$87:$B$100,0),MATCH($AA$86,$A$87:$H$87,0))*고양시_Modal_split!M$3 * 0.01</f>
        <v>2.2559168471267732</v>
      </c>
      <c r="AL94" s="207">
        <f>INDEX($A$87:$H$100,MATCH($L94,$B$87:$B$100,0),MATCH($AA$86,$A$87:$H$87,0))*고양시_Modal_split!N$3 * 0.01</f>
        <v>0.98083341179424954</v>
      </c>
      <c r="AM94" s="207">
        <f>INDEX($A$87:$H$100,MATCH($L94,$B$87:$B$100,0),MATCH($AA$86,$A$87:$H$87,0))*고양시_Modal_split!O$3 * 0.01</f>
        <v>1.7655001412296489</v>
      </c>
      <c r="AN94" s="207">
        <f>INDEX($A$87:$H$100,MATCH($L94,$B$87:$B$100,0),MATCH($AA$86,$A$87:$H$87,0))*고양시_Modal_split!P$3 * 0.01</f>
        <v>980.8334117942494</v>
      </c>
      <c r="AO94" s="303">
        <f>INDEX($A$87:$H$100,MATCH($L94,$B$87:$B$100,0),MATCH($AO$86,$A$87:$H$87,0))*고양시_Modal_split!C$3 * 0.01</f>
        <v>0.15755035819060279</v>
      </c>
      <c r="AP94" s="303">
        <f>INDEX($A$87:$H$100,MATCH($L94,$B$87:$B$100,0),MATCH($AO$86,$A$87:$H$87,0))*고양시_Modal_split!D$3 * 0.01</f>
        <v>26.462833377514464</v>
      </c>
      <c r="AQ94" s="303">
        <f>INDEX($A$87:$H$100,MATCH($L94,$B$87:$B$100,0),MATCH($AO$86,$A$87:$H$87,0))*고양시_Modal_split!E$3 * 0.01</f>
        <v>3.2016483503733206</v>
      </c>
      <c r="AR94" s="303">
        <f>INDEX($A$87:$H$100,MATCH($L94,$B$87:$B$100,0),MATCH($AO$86,$A$87:$H$87,0))*고양시_Modal_split!F$3 * 0.01</f>
        <v>5.1597742307422418</v>
      </c>
      <c r="AS94" s="303">
        <f>INDEX($A$87:$H$100,MATCH($L94,$B$87:$B$100,0),MATCH($AO$86,$A$87:$H$87,0))*고양시_Modal_split!G$3 * 0.01</f>
        <v>0.51766546262626623</v>
      </c>
      <c r="AT94" s="303">
        <f>INDEX($A$87:$H$100,MATCH($L94,$B$87:$B$100,0),MATCH($AO$86,$A$87:$H$87,0))*고양시_Modal_split!H$3 * 0.01</f>
        <v>5.6267985068072426E-3</v>
      </c>
      <c r="AU94" s="303">
        <f>INDEX($A$87:$H$100,MATCH($L94,$B$87:$B$100,0),MATCH($AO$86,$A$87:$H$87,0))*고양시_Modal_split!I$3 * 0.01</f>
        <v>1.5642499848924134</v>
      </c>
      <c r="AV94" s="303">
        <f>INDEX($A$87:$H$100,MATCH($L94,$B$87:$B$100,0),MATCH($AO$86,$A$87:$H$87,0))*고양시_Modal_split!J$3 * 0.01</f>
        <v>17.127974654721246</v>
      </c>
      <c r="AW94" s="303">
        <f>INDEX($A$87:$H$100,MATCH($L94,$B$87:$B$100,0),MATCH($AO$86,$A$87:$H$87,0))*고양시_Modal_split!K$3 * 0.01</f>
        <v>8.4401977602108644E-2</v>
      </c>
      <c r="AX94" s="303">
        <f>INDEX($A$87:$H$100,MATCH($L94,$B$87:$B$100,0),MATCH($AO$86,$A$87:$H$87,0))*고양시_Modal_split!L$3 * 0.01</f>
        <v>1.6992931490557874</v>
      </c>
      <c r="AY94" s="303">
        <f>INDEX($A$87:$H$100,MATCH($L94,$B$87:$B$100,0),MATCH($AO$86,$A$87:$H$87,0))*고양시_Modal_split!M$3 * 0.01</f>
        <v>0.12941636565656656</v>
      </c>
      <c r="AZ94" s="303">
        <f>INDEX($A$87:$H$100,MATCH($L94,$B$87:$B$100,0),MATCH($AO$86,$A$87:$H$87,0))*고양시_Modal_split!N$3 * 0.01</f>
        <v>5.6267985068072436E-2</v>
      </c>
      <c r="BA94" s="207">
        <f>INDEX($A$87:$H$100,MATCH($L94,$B$87:$B$100,0),MATCH($AO$86,$A$87:$H$87,0))*고양시_Modal_split!O$3 * 0.01</f>
        <v>0.10128237312253037</v>
      </c>
      <c r="BB94" s="207">
        <f>INDEX($A$87:$H$100,MATCH($L94,$B$87:$B$100,0),MATCH($AO$86,$A$87:$H$87,0))*고양시_Modal_split!P$3 * 0.01</f>
        <v>56.267985068072434</v>
      </c>
      <c r="BC94" s="207">
        <f>INDEX($A$87:$H$100,MATCH($L94,$B$87:$B$100,0),MATCH($BC$86,$A$87:$H$87,0))*고양시_Modal_split!C$3 * 0.01</f>
        <v>2.4759092434353586E-4</v>
      </c>
      <c r="BD94" s="207">
        <f>INDEX($A$87:$H$100,MATCH($L94,$B$87:$B$100,0),MATCH($BC$86,$A$87:$H$87,0))*고양시_Modal_split!D$3 * 0.01</f>
        <v>4.1586432756701763E-2</v>
      </c>
      <c r="BE94" s="207">
        <f>INDEX($A$87:$H$100,MATCH($L94,$B$87:$B$100,0),MATCH($BC$86,$A$87:$H$87,0))*고양시_Modal_split!E$3 * 0.01</f>
        <v>5.0314012839811394E-3</v>
      </c>
      <c r="BF94" s="207">
        <f>INDEX($A$87:$H$100,MATCH($L94,$B$87:$B$100,0),MATCH($BC$86,$A$87:$H$87,0))*고양시_Modal_split!F$3 * 0.01</f>
        <v>8.1086027722507992E-3</v>
      </c>
      <c r="BG94" s="207">
        <f>INDEX($A$87:$H$100,MATCH($L94,$B$87:$B$100,0),MATCH($BC$86,$A$87:$H$87,0))*고양시_Modal_split!G$3 * 0.01</f>
        <v>8.1351303712876065E-4</v>
      </c>
      <c r="BH94" s="207">
        <f>INDEX($A$87:$H$100,MATCH($L94,$B$87:$B$100,0),MATCH($BC$86,$A$87:$H$87,0))*고양시_Modal_split!H$3 * 0.01</f>
        <v>8.8425330122691392E-6</v>
      </c>
      <c r="BI94" s="207">
        <f>INDEX($A$87:$H$100,MATCH($L94,$B$87:$B$100,0),MATCH($BC$86,$A$87:$H$87,0))*고양시_Modal_split!I$3 * 0.01</f>
        <v>2.4582241774108201E-3</v>
      </c>
      <c r="BJ94" s="207">
        <f>INDEX($A$87:$H$100,MATCH($L94,$B$87:$B$100,0),MATCH($BC$86,$A$87:$H$87,0))*고양시_Modal_split!J$3 * 0.01</f>
        <v>2.6916670489347261E-2</v>
      </c>
      <c r="BK94" s="207">
        <f>INDEX($A$87:$H$100,MATCH($L94,$B$87:$B$100,0),MATCH($BC$86,$A$87:$H$87,0))*고양시_Modal_split!K$3 * 0.01</f>
        <v>1.3263799518403708E-4</v>
      </c>
      <c r="BL94" s="207">
        <f>INDEX($A$87:$H$100,MATCH($L94,$B$87:$B$100,0),MATCH($BC$86,$A$87:$H$87,0))*고양시_Modal_split!L$3 * 0.01</f>
        <v>2.6704449697052797E-3</v>
      </c>
      <c r="BM94" s="207">
        <f>INDEX($A$87:$H$100,MATCH($L94,$B$87:$B$100,0),MATCH($BC$86,$A$87:$H$87,0))*고양시_Modal_split!M$3 * 0.01</f>
        <v>2.0337825928219016E-4</v>
      </c>
      <c r="BN94" s="207">
        <f>INDEX($A$87:$H$100,MATCH($L94,$B$87:$B$100,0),MATCH($BC$86,$A$87:$H$87,0))*고양시_Modal_split!N$3 * 0.01</f>
        <v>8.8425330122691385E-5</v>
      </c>
      <c r="BO94" s="207">
        <f>INDEX($A$87:$H$100,MATCH($L94,$B$87:$B$100,0),MATCH($BC$86,$A$87:$H$87,0))*고양시_Modal_split!O$3 * 0.01</f>
        <v>1.5916559422084447E-4</v>
      </c>
      <c r="BP94" s="207">
        <f>INDEX($A$87:$H$100,MATCH($L94,$B$87:$B$100,0),MATCH($BC$86,$A$87:$H$87,0))*고양시_Modal_split!P$3 * 0.01</f>
        <v>8.8425330122691381E-2</v>
      </c>
      <c r="BQ94" s="207">
        <f>INDEX($A$87:$H$100,MATCH($L94,$B$87:$B$100,0),MATCH($BQ$86,$A$87:$H$87,0))*고양시_Modal_split!C$3 * 0.01</f>
        <v>9.3534349196446563E-4</v>
      </c>
      <c r="BR94" s="207">
        <f>INDEX($A$87:$H$100,MATCH($L94,$B$87:$B$100,0),MATCH($BQ$86,$A$87:$H$87,0))*고양시_Modal_split!D$3 * 0.01</f>
        <v>0.15710430152531724</v>
      </c>
      <c r="BS94" s="207">
        <f>INDEX($A$87:$H$100,MATCH($L94,$B$87:$B$100,0),MATCH($BQ$86,$A$87:$H$87,0))*고양시_Modal_split!E$3 * 0.01</f>
        <v>1.9007515961706464E-2</v>
      </c>
      <c r="BT94" s="207">
        <f>INDEX($A$87:$H$100,MATCH($L94,$B$87:$B$100,0),MATCH($BQ$86,$A$87:$H$87,0))*고양시_Modal_split!F$3 * 0.01</f>
        <v>3.0632499361836252E-2</v>
      </c>
      <c r="BU94" s="207">
        <f>INDEX($A$87:$H$100,MATCH($L94,$B$87:$B$100,0),MATCH($BQ$86,$A$87:$H$87,0))*고양시_Modal_split!G$3 * 0.01</f>
        <v>3.0732714735975299E-3</v>
      </c>
      <c r="BV94" s="207">
        <f>INDEX($A$87:$H$100,MATCH($L94,$B$87:$B$100,0),MATCH($BQ$86,$A$87:$H$87,0))*고양시_Modal_split!H$3 * 0.01</f>
        <v>3.3405124713016636E-5</v>
      </c>
      <c r="BW94" s="207">
        <f>INDEX($A$87:$H$100,MATCH($L94,$B$87:$B$100,0),MATCH($BQ$86,$A$87:$H$87,0))*고양시_Modal_split!I$3 * 0.01</f>
        <v>9.2866246702186222E-3</v>
      </c>
      <c r="BX94" s="207">
        <f>INDEX($A$87:$H$100,MATCH($L94,$B$87:$B$100,0),MATCH($BQ$86,$A$87:$H$87,0))*고양시_Modal_split!J$3 * 0.01</f>
        <v>0.10168519962642263</v>
      </c>
      <c r="BY94" s="207">
        <f>INDEX($A$87:$H$100,MATCH($L94,$B$87:$B$100,0),MATCH($BQ$86,$A$87:$H$87,0))*고양시_Modal_split!K$3 * 0.01</f>
        <v>5.0107687069524945E-4</v>
      </c>
      <c r="BZ94" s="207">
        <f>INDEX($A$87:$H$100,MATCH($L94,$B$87:$B$100,0),MATCH($BQ$86,$A$87:$H$87,0))*고양시_Modal_split!L$3 * 0.01</f>
        <v>1.0088347663331023E-2</v>
      </c>
      <c r="CA94" s="207">
        <f>INDEX($A$87:$H$100,MATCH($L94,$B$87:$B$100,0),MATCH($BQ$86,$A$87:$H$87,0))*고양시_Modal_split!M$3 * 0.01</f>
        <v>7.6831786839938248E-4</v>
      </c>
      <c r="CB94" s="207">
        <f>INDEX($A$87:$H$100,MATCH($L94,$B$87:$B$100,0),MATCH($BQ$86,$A$87:$H$87,0))*고양시_Modal_split!N$3 * 0.01</f>
        <v>3.3405124713016635E-4</v>
      </c>
      <c r="CC94" s="207">
        <f>INDEX($A$87:$H$100,MATCH($L94,$B$87:$B$100,0),MATCH($BQ$86,$A$87:$H$87,0))*고양시_Modal_split!O$3 * 0.01</f>
        <v>6.0129224483429933E-4</v>
      </c>
      <c r="CD94" s="207">
        <f>INDEX($A$87:$H$100,MATCH($L94,$B$87:$B$100,0),MATCH($BQ$86,$A$87:$H$87,0))*고양시_Modal_split!P$3 * 0.01</f>
        <v>0.33405124713016632</v>
      </c>
      <c r="CE94" s="304">
        <f t="shared" si="69"/>
        <v>3.2845412023413321</v>
      </c>
      <c r="CF94" s="304">
        <f t="shared" si="51"/>
        <v>551.6856169504033</v>
      </c>
      <c r="CG94" s="304">
        <f t="shared" si="52"/>
        <v>66.746569433293516</v>
      </c>
      <c r="CH94" s="304">
        <f t="shared" si="53"/>
        <v>107.56872437667865</v>
      </c>
      <c r="CI94" s="304">
        <f t="shared" si="54"/>
        <v>10.792063950550091</v>
      </c>
      <c r="CJ94" s="304">
        <f t="shared" si="55"/>
        <v>0.11730504294076188</v>
      </c>
      <c r="CK94" s="304">
        <f t="shared" si="56"/>
        <v>32.610801937531797</v>
      </c>
      <c r="CL94" s="304">
        <f t="shared" si="57"/>
        <v>357.07655071167926</v>
      </c>
      <c r="CM94" s="304">
        <f t="shared" si="58"/>
        <v>1.7595756441114281</v>
      </c>
      <c r="CN94" s="304">
        <f t="shared" si="59"/>
        <v>35.426122968110093</v>
      </c>
      <c r="CO94" s="304">
        <f t="shared" si="60"/>
        <v>2.6980159876375227</v>
      </c>
      <c r="CP94" s="304">
        <f t="shared" si="61"/>
        <v>1.1730504294076192</v>
      </c>
      <c r="CQ94" s="304">
        <f t="shared" si="62"/>
        <v>2.1114907729337142</v>
      </c>
      <c r="CR94" s="304">
        <f t="shared" si="63"/>
        <v>1173.0504294076188</v>
      </c>
      <c r="CS94" s="305">
        <f t="shared" si="70"/>
        <v>0</v>
      </c>
      <c r="CV94" s="267" t="s">
        <v>167</v>
      </c>
      <c r="CW94" s="267" t="s">
        <v>167</v>
      </c>
      <c r="CX94" s="267">
        <f>INDEX($M$86:$Z$100,MATCH($CW94,$L$86:$L$100,0),MATCH(CX$87,$M$87:$Z$87,0))/INDEX(고양시_재차인원!$D$4:$H$35,MATCH("고양시",고양시_재차인원!$B$4:$B$35,0),MATCH($CX$86,고양시_재차인원!$D$4:$H$4,0))</f>
        <v>56.909052921224252</v>
      </c>
      <c r="CY94" s="267">
        <f>INDEX($M$86:$Z$100,MATCH($CW94,$L$86:$L$100,0),MATCH(CY$87,$M$87:$Z$87,0))/INDEX(고양시_재차인원!$K$4:$O$20,MATCH("경기도",고양시_재차인원!$K$4:$K$20,0),MATCH($CY$87,고양시_재차인원!$K$4:$O$4,0))</f>
        <v>4.7074177133742329E-4</v>
      </c>
      <c r="CZ94" s="267">
        <f>INDEX($M$86:$Z$100,MATCH($CW94,$L$86:$L$100,0),MATCH(CZ$87,$M$87:$Z$87,0))/INDEX(고양시_재차인원!$K$4:$O$20,MATCH("경기도",고양시_재차인원!$K$4:$K$20,0),MATCH($CZ$87,고양시_재차인원!$K$4:$O$4,0))</f>
        <v>0.13086621243180369</v>
      </c>
      <c r="DA94" s="267">
        <f>INDEX($M$86:$Z$100,MATCH($CW94,$L$86:$L$100,0),MATCH(DA$87,$M$87:$Z$87,0))/INDEX(고양시_재차인원!$D$4:$H$35,MATCH("고양시",고양시_재차인원!$B$4:$B$35,0),MATCH($CX$86,고양시_재차인원!$D$4:$H$4,0))</f>
        <v>3.654376776995476</v>
      </c>
      <c r="DB94" s="267">
        <f>INDEX($AA$86:$AN$100,MATCH($CW94,$L$86:$L$100,0),MATCH(DB$87,$AA$87:$AN$87,0))/INDEX(고양시_재차인원!$D$4:$H$35,MATCH("고양시",고양시_재차인원!$B$4:$B$35,0),MATCH($DB$86,고양시_재차인원!$D$4:$H$4,0))</f>
        <v>327.15315855803942</v>
      </c>
      <c r="DC94" s="267">
        <f>INDEX($AA$86:$AN$100,MATCH($CW94,$L$86:$L$100,0),MATCH(DC$87,$AA$87:$AN$87,0))/INDEX(고양시_재차인원!$K$4:$O$20,MATCH("경기도",고양시_재차인원!$K$4:$K$20,0),MATCH(DC$87,고양시_재차인원!$K$4:$O$4,0))</f>
        <v>3.4068545043218113E-3</v>
      </c>
      <c r="DD94" s="267">
        <f>INDEX($AA$86:$AN$100,MATCH($CW94,$L$86:$L$100,0),MATCH(DD$87,$AA$87:$AN$87,0))/INDEX(고양시_재차인원!$K$4:$O$20,MATCH("경기도",고양시_재차인원!$K$4:$K$20,0),MATCH(DD$87,고양시_재차인원!$K$4:$O$4,0))</f>
        <v>0.94710555220146331</v>
      </c>
      <c r="DE94" s="267">
        <f>INDEX($AA$86:$AN$100,MATCH($CW94,$L$86:$L$100,0),MATCH(DE$87,$AA$87:$AN$87,0))/INDEX(고양시_재차인원!$D$4:$H$35,MATCH("고양시",고양시_재차인원!$B$4:$B$35,0),MATCH($DB$86,고양시_재차인원!$D$4:$H$4,0))</f>
        <v>21.007921302259813</v>
      </c>
      <c r="DF94" s="267">
        <f>INDEX($AO$86:$BB$100,MATCH($CW94,$L$86:$L$100,0),MATCH(DF$87,$AO$87:$BB$87,0))/INDEX(고양시_재차인원!$D$4:$H$35,MATCH("고양시",고양시_재차인원!$B$4:$B$35,0),MATCH($DF$86,고양시_재차인원!$D$4:$H$4,0))</f>
        <v>20.356025675011125</v>
      </c>
      <c r="DG94" s="267">
        <f>INDEX($AO$86:$BB$100,MATCH($CW94,$L$86:$L$100,0),MATCH(DG$87,$AO$87:$BB$87,0))/INDEX(고양시_재차인원!$K$4:$O$20,MATCH("경기도",고양시_재차인원!$K$4:$K$20,0),MATCH(DG$87,고양시_재차인원!$K$4:$O$4,0))</f>
        <v>1.9544281023991812E-4</v>
      </c>
      <c r="DH94" s="267">
        <f>INDEX($AO$86:$BB$100,MATCH($CW94,$L$86:$L$100,0),MATCH(DH$87,$AO$87:$BB$87,0))/INDEX(고양시_재차인원!$K$4:$O$20,MATCH("경기도",고양시_재차인원!$K$4:$K$20,0),MATCH(DH$87,고양시_재차인원!$K$4:$O$4,0))</f>
        <v>5.4333101246697234E-2</v>
      </c>
      <c r="DI94" s="267">
        <f>INDEX($AO$86:$BB$100,MATCH($CW94,$L$86:$L$100,0),MATCH(DI$87,$AO$87:$BB$87,0))/INDEX(고양시_재차인원!$D$4:$H$35,MATCH("고양시",고양시_재차인원!$B$4:$B$35,0),MATCH($DF$86,고양시_재차인원!$D$4:$H$4,0))</f>
        <v>1.3071485761967596</v>
      </c>
      <c r="DJ94" s="267">
        <f>INDEX($BC$86:$BP$100,MATCH($CW94,$L$86:$L$100,0),MATCH(DJ$87,$BC$87:$BP$87,0))/INDEX(고양시_재차인원!$D$4:$H$35,MATCH("고양시",고양시_재차인원!$B$4:$B$35,0),MATCH($DJ$86,고양시_재차인원!$D$4:$H$4,0))</f>
        <v>3.0578259379927766E-2</v>
      </c>
      <c r="DK94" s="267">
        <f>INDEX($BC$86:$BP$100,MATCH($CW94,$L$86:$L$100,0),MATCH(DK$87,$BC$87:$BP$87,0))/INDEX(고양시_재차인원!$K$4:$O$20,MATCH("경기도",고양시_재차인원!$K$4:$K$20,0),MATCH(DK$87,고양시_재차인원!$K$4:$O$4,0))</f>
        <v>3.0713904175995621E-7</v>
      </c>
      <c r="DL94" s="267">
        <f>INDEX($BC$86:$BP$100,MATCH($CW94,$L$86:$L$100,0),MATCH(DL$87,$BC$87:$BP$87,0))/INDEX(고양시_재차인원!$K$4:$O$20,MATCH("경기도",고양시_재차인원!$K$4:$K$20,0),MATCH(DL$87,고양시_재차인원!$K$4:$O$4,0))</f>
        <v>8.5384653609267805E-5</v>
      </c>
      <c r="DM94" s="267">
        <f>INDEX($BC$86:$BP$100,MATCH($CW94,$L$86:$L$100,0),MATCH(DM$87,$BC$87:$BP$87,0))/INDEX(고양시_재차인원!$D$4:$H$35,MATCH("고양시",고양시_재차인원!$B$4:$B$35,0),MATCH($DJ$86,고양시_재차인원!$D$4:$H$4,0))</f>
        <v>1.9635624777244701E-3</v>
      </c>
      <c r="DN94" s="267">
        <f>INDEX($BQ$86:$CD$100,MATCH($CW94,$L$86:$L$100,0),MATCH(DN$87,$BQ$87:$CD$87,0))/INDEX(고양시_재차인원!$D$4:$H$35,MATCH("고양시",고양시_재차인원!$B$4:$B$35,0),MATCH($DN$86,고양시_재차인원!$D$4:$H$4,0))</f>
        <v>0.12468595359152161</v>
      </c>
      <c r="DO94" s="267">
        <f>INDEX($BQ$86:$CD$100,MATCH($CW94,$L$86:$L$100,0),MATCH(DO$87,$BQ$87:$CD$87,0))/INDEX(고양시_재차인원!$K$4:$O$20,MATCH("경기도",고양시_재차인원!$K$4:$K$20,0),MATCH(DO$87,고양시_재차인원!$K$4:$O$4,0))</f>
        <v>1.1603030466487196E-6</v>
      </c>
      <c r="DP94" s="267">
        <f>INDEX($BQ$86:$CD$100,MATCH($CW94,$L$86:$L$100,0),MATCH(DP$87,$BQ$87:$CD$87,0))/INDEX(고양시_재차인원!$K$4:$O$20,MATCH("경기도",고양시_재차인원!$K$4:$K$20,0),MATCH(DP$87,고양시_재차인원!$K$4:$O$4,0))</f>
        <v>3.2256424696834395E-4</v>
      </c>
      <c r="DQ94" s="267">
        <f>INDEX($BQ$86:$CD$100,MATCH($CW94,$L$86:$L$100,0),MATCH(DQ$87,$BQ$87:$CD$87,0))/INDEX(고양시_재차인원!$D$4:$H$35,MATCH("고양시",고양시_재차인원!$B$4:$B$35,0),MATCH($DN$86,고양시_재차인원!$D$4:$H$4,0))</f>
        <v>8.0066251296277962E-3</v>
      </c>
      <c r="DR94" s="270">
        <f t="shared" si="71"/>
        <v>404.57350136724625</v>
      </c>
      <c r="DS94" s="270">
        <f t="shared" si="64"/>
        <v>4.0745065279875611E-3</v>
      </c>
      <c r="DT94" s="270">
        <f t="shared" si="65"/>
        <v>1.1327128147805419</v>
      </c>
      <c r="DU94" s="270">
        <f t="shared" si="66"/>
        <v>25.979416843059401</v>
      </c>
      <c r="DW94" s="278" t="s">
        <v>167</v>
      </c>
      <c r="DX94" s="278" t="s">
        <v>167</v>
      </c>
      <c r="DY94" s="281">
        <f t="shared" si="72"/>
        <v>430.55291821030568</v>
      </c>
      <c r="DZ94" s="281">
        <f t="shared" si="73"/>
        <v>1.1367873213085293</v>
      </c>
      <c r="EB94" s="278" t="s">
        <v>168</v>
      </c>
      <c r="EC94" s="278" t="s">
        <v>168</v>
      </c>
      <c r="ED94" s="281">
        <f>DY95</f>
        <v>1635.0246978795637</v>
      </c>
      <c r="EE94" s="281">
        <f t="shared" ref="EE94:EE99" si="80">DZ95</f>
        <v>4.3169498288429162</v>
      </c>
      <c r="EK94" s="420" t="s">
        <v>168</v>
      </c>
      <c r="EL94" s="420" t="s">
        <v>168</v>
      </c>
      <c r="EM94" s="420" t="s">
        <v>569</v>
      </c>
      <c r="EN94" s="420">
        <v>63163.374600000003</v>
      </c>
      <c r="EO94" s="420">
        <v>0.3749310795992149</v>
      </c>
      <c r="EP94" s="421">
        <v>849007</v>
      </c>
      <c r="EQ94" s="422">
        <f t="shared" si="75"/>
        <v>595.55046025566503</v>
      </c>
      <c r="ER94" s="422">
        <f t="shared" si="76"/>
        <v>1.5724297380964645</v>
      </c>
      <c r="ES94">
        <v>0</v>
      </c>
      <c r="EU94" s="306" t="s">
        <v>168</v>
      </c>
      <c r="EV94" s="306" t="s">
        <v>168</v>
      </c>
      <c r="EW94" s="306" t="s">
        <v>569</v>
      </c>
      <c r="EX94" s="306">
        <v>63163.374600000003</v>
      </c>
      <c r="EY94" s="306">
        <v>0.3749310795992149</v>
      </c>
      <c r="EZ94" s="307">
        <v>849007</v>
      </c>
      <c r="FA94" s="308">
        <f t="shared" si="77"/>
        <v>595.55046025566503</v>
      </c>
      <c r="FB94" s="308">
        <f t="shared" si="68"/>
        <v>1.5724297380964645</v>
      </c>
      <c r="FD94" s="101"/>
      <c r="FE94" s="101"/>
      <c r="FF94" s="101"/>
      <c r="FG94" s="101"/>
      <c r="FH94" s="101"/>
      <c r="FI94" s="374"/>
      <c r="FJ94" s="404"/>
      <c r="FK94" s="404"/>
    </row>
    <row r="95" spans="1:167">
      <c r="A95" s="205" t="s">
        <v>168</v>
      </c>
      <c r="B95" s="205" t="s">
        <v>168</v>
      </c>
      <c r="C95" s="201">
        <f>$K36*KTDB_TripDistribution_2040!T$12</f>
        <v>514.66209344811102</v>
      </c>
      <c r="D95" s="201">
        <f>$K36*KTDB_TripDistribution_2040!U$12</f>
        <v>3724.7148607311169</v>
      </c>
      <c r="E95" s="201">
        <f>$K36*KTDB_TripDistribution_2040!V$12</f>
        <v>213.67767211666956</v>
      </c>
      <c r="F95" s="201">
        <f>$K36*KTDB_TripDistribution_2040!W$12</f>
        <v>0.33579518928759078</v>
      </c>
      <c r="G95" s="201">
        <f>$K36*KTDB_TripDistribution_2040!X$12</f>
        <v>1.2685596039753386</v>
      </c>
      <c r="H95" s="201">
        <f>$K36*KTDB_TripDistribution_2040!Y$12</f>
        <v>4454.658981089161</v>
      </c>
      <c r="I95" s="56"/>
      <c r="J95" s="56"/>
      <c r="K95" s="206" t="s">
        <v>168</v>
      </c>
      <c r="L95" s="206" t="s">
        <v>168</v>
      </c>
      <c r="M95" s="206">
        <f>INDEX($A$87:$H$100,MATCH($L95,$B$87:$B$100,0),MATCH($M$86,$A$87:$H$87,0))*고양시_Modal_split!C$3 * 0.01</f>
        <v>1.4410538616547106</v>
      </c>
      <c r="N95" s="206">
        <f>INDEX($A$87:$H$100,MATCH($L95,$B$87:$B$100,0),MATCH($M$86,$A$87:$H$87,0))*고양시_Modal_split!D$3 * 0.01</f>
        <v>242.04558254864665</v>
      </c>
      <c r="O95" s="206">
        <f>INDEX($A$87:$H$100,MATCH($L95,$B$87:$B$100,0),MATCH($M$86,$A$87:$H$87,0))*고양시_Modal_split!E$3 * 0.01</f>
        <v>29.284273117197515</v>
      </c>
      <c r="P95" s="206">
        <f>INDEX($A$87:$H$100,MATCH($L95,$B$87:$B$100,0),MATCH($M$86,$A$87:$H$87,0))*고양시_Modal_split!F$3 * 0.01</f>
        <v>47.194513969191789</v>
      </c>
      <c r="Q95" s="206">
        <f>INDEX($A$87:$H$100,MATCH($L95,$B$87:$B$100,0),MATCH($M$86,$A$87:$H$87,0))*고양시_Modal_split!G$3 * 0.01</f>
        <v>4.7348912597226214</v>
      </c>
      <c r="R95" s="206">
        <f>INDEX($A$87:$H$100,MATCH($L95,$B$87:$B$100,0),MATCH($M$86,$A$87:$H$87,0))*고양시_Modal_split!H$3 * 0.01</f>
        <v>5.1466209344811109E-2</v>
      </c>
      <c r="S95" s="206">
        <f>INDEX($A$87:$H$100,MATCH($L95,$B$87:$B$100,0),MATCH($M$86,$A$87:$H$87,0))*고양시_Modal_split!I$3 * 0.01</f>
        <v>14.307606197857485</v>
      </c>
      <c r="T95" s="206">
        <f>INDEX($A$87:$H$100,MATCH($L95,$B$87:$B$100,0),MATCH($M$86,$A$87:$H$87,0))*고양시_Modal_split!J$3 * 0.01</f>
        <v>156.663141245605</v>
      </c>
      <c r="U95" s="206">
        <f>INDEX($A$87:$H$100,MATCH($L95,$B$87:$B$100,0),MATCH($M$86,$A$87:$H$87,0))*고양시_Modal_split!K$3 * 0.01</f>
        <v>0.77199314017216647</v>
      </c>
      <c r="V95" s="206">
        <f>INDEX($A$87:$H$100,MATCH($L95,$B$87:$B$100,0),MATCH($M$86,$A$87:$H$87,0))*고양시_Modal_split!L$3 * 0.01</f>
        <v>15.542795222132952</v>
      </c>
      <c r="W95" s="206">
        <f>INDEX($A$87:$H$100,MATCH($L95,$B$87:$B$100,0),MATCH($M$86,$A$87:$H$87,0))*고양시_Modal_split!M$3 * 0.01</f>
        <v>1.1837228149306553</v>
      </c>
      <c r="X95" s="206">
        <f>INDEX($A$87:$H$100,MATCH($L95,$B$87:$B$100,0),MATCH($M$86,$A$87:$H$87,0))*고양시_Modal_split!N$3 * 0.01</f>
        <v>0.51466209344811109</v>
      </c>
      <c r="Y95" s="206">
        <f>INDEX($A$87:$H$100,MATCH($L95,$B$87:$B$100,0),MATCH($M$86,$A$87:$H$87,0))*고양시_Modal_split!O$3 * 0.01</f>
        <v>0.92639176820659985</v>
      </c>
      <c r="Z95" s="209">
        <f>INDEX($A$87:$H$100,MATCH($L95,$B$87:$B$100,0),MATCH($M$86,$A$87:$H$87,0))*고양시_Modal_split!P$3 * 0.01</f>
        <v>514.66209344811102</v>
      </c>
      <c r="AA95" s="207">
        <f>INDEX($A$87:$H$100,MATCH($L95,$B$87:$B$100,0),MATCH($AA$86,$A$87:$H$87,0))*고양시_Modal_split!C$3 * 0.01</f>
        <v>10.429201610047127</v>
      </c>
      <c r="AB95" s="207">
        <f>INDEX($A$87:$H$100,MATCH($L95,$B$87:$B$100,0),MATCH($AA$86,$A$87:$H$87,0))*고양시_Modal_split!D$3 * 0.01</f>
        <v>1751.7333990018442</v>
      </c>
      <c r="AC95" s="207">
        <f>INDEX($A$87:$H$100,MATCH($L95,$B$87:$B$100,0),MATCH($AA$86,$A$87:$H$87,0))*고양시_Modal_split!E$3 * 0.01</f>
        <v>211.93627557560052</v>
      </c>
      <c r="AD95" s="207">
        <f>INDEX($A$87:$H$100,MATCH($L95,$B$87:$B$100,0),MATCH($AA$86,$A$87:$H$87,0))*고양시_Modal_split!F$3 * 0.01</f>
        <v>341.55635272904345</v>
      </c>
      <c r="AE95" s="207">
        <f>INDEX($A$87:$H$100,MATCH($L95,$B$87:$B$100,0),MATCH($AA$86,$A$87:$H$87,0))*고양시_Modal_split!G$3 * 0.01</f>
        <v>34.267376718726275</v>
      </c>
      <c r="AF95" s="207">
        <f>INDEX($A$87:$H$100,MATCH($L95,$B$87:$B$100,0),MATCH($AA$86,$A$87:$H$87,0))*고양시_Modal_split!H$3 * 0.01</f>
        <v>0.3724714860731117</v>
      </c>
      <c r="AG95" s="207">
        <f>INDEX($A$87:$H$100,MATCH($L95,$B$87:$B$100,0),MATCH($AA$86,$A$87:$H$87,0))*고양시_Modal_split!I$3 * 0.01</f>
        <v>103.54707312832505</v>
      </c>
      <c r="AH95" s="207">
        <f>INDEX($A$87:$H$100,MATCH($L95,$B$87:$B$100,0),MATCH($AA$86,$A$87:$H$87,0))*고양시_Modal_split!J$3 * 0.01</f>
        <v>1133.803203606552</v>
      </c>
      <c r="AI95" s="207">
        <f>INDEX($A$87:$H$100,MATCH($L95,$B$87:$B$100,0),MATCH($AA$86,$A$87:$H$87,0))*고양시_Modal_split!K$3 * 0.01</f>
        <v>5.5870722910966757</v>
      </c>
      <c r="AJ95" s="207">
        <f>INDEX($A$87:$H$100,MATCH($L95,$B$87:$B$100,0),MATCH($AA$86,$A$87:$H$87,0))*고양시_Modal_split!L$3 * 0.01</f>
        <v>112.48638879407974</v>
      </c>
      <c r="AK95" s="207">
        <f>INDEX($A$87:$H$100,MATCH($L95,$B$87:$B$100,0),MATCH($AA$86,$A$87:$H$87,0))*고양시_Modal_split!M$3 * 0.01</f>
        <v>8.5668441796815689</v>
      </c>
      <c r="AL95" s="207">
        <f>INDEX($A$87:$H$100,MATCH($L95,$B$87:$B$100,0),MATCH($AA$86,$A$87:$H$87,0))*고양시_Modal_split!N$3 * 0.01</f>
        <v>3.7247148607311171</v>
      </c>
      <c r="AM95" s="207">
        <f>INDEX($A$87:$H$100,MATCH($L95,$B$87:$B$100,0),MATCH($AA$86,$A$87:$H$87,0))*고양시_Modal_split!O$3 * 0.01</f>
        <v>6.7044867493160103</v>
      </c>
      <c r="AN95" s="207">
        <f>INDEX($A$87:$H$100,MATCH($L95,$B$87:$B$100,0),MATCH($AA$86,$A$87:$H$87,0))*고양시_Modal_split!P$3 * 0.01</f>
        <v>3724.7148607311174</v>
      </c>
      <c r="AO95" s="303">
        <f>INDEX($A$87:$H$100,MATCH($L95,$B$87:$B$100,0),MATCH($AO$86,$A$87:$H$87,0))*고양시_Modal_split!C$3 * 0.01</f>
        <v>0.59829748192667465</v>
      </c>
      <c r="AP95" s="303">
        <f>INDEX($A$87:$H$100,MATCH($L95,$B$87:$B$100,0),MATCH($AO$86,$A$87:$H$87,0))*고양시_Modal_split!D$3 * 0.01</f>
        <v>100.4926091964697</v>
      </c>
      <c r="AQ95" s="303">
        <f>INDEX($A$87:$H$100,MATCH($L95,$B$87:$B$100,0),MATCH($AO$86,$A$87:$H$87,0))*고양시_Modal_split!E$3 * 0.01</f>
        <v>12.158259543438497</v>
      </c>
      <c r="AR95" s="303">
        <f>INDEX($A$87:$H$100,MATCH($L95,$B$87:$B$100,0),MATCH($AO$86,$A$87:$H$87,0))*고양시_Modal_split!F$3 * 0.01</f>
        <v>19.594242533098598</v>
      </c>
      <c r="AS95" s="303">
        <f>INDEX($A$87:$H$100,MATCH($L95,$B$87:$B$100,0),MATCH($AO$86,$A$87:$H$87,0))*고양시_Modal_split!G$3 * 0.01</f>
        <v>1.9658345834733597</v>
      </c>
      <c r="AT95" s="303">
        <f>INDEX($A$87:$H$100,MATCH($L95,$B$87:$B$100,0),MATCH($AO$86,$A$87:$H$87,0))*고양시_Modal_split!H$3 * 0.01</f>
        <v>2.1367767211666954E-2</v>
      </c>
      <c r="AU95" s="303">
        <f>INDEX($A$87:$H$100,MATCH($L95,$B$87:$B$100,0),MATCH($AO$86,$A$87:$H$87,0))*고양시_Modal_split!I$3 * 0.01</f>
        <v>5.9402392848434138</v>
      </c>
      <c r="AV95" s="303">
        <f>INDEX($A$87:$H$100,MATCH($L95,$B$87:$B$100,0),MATCH($AO$86,$A$87:$H$87,0))*고양시_Modal_split!J$3 * 0.01</f>
        <v>65.043483392314215</v>
      </c>
      <c r="AW95" s="303">
        <f>INDEX($A$87:$H$100,MATCH($L95,$B$87:$B$100,0),MATCH($AO$86,$A$87:$H$87,0))*고양시_Modal_split!K$3 * 0.01</f>
        <v>0.32051650817500432</v>
      </c>
      <c r="AX95" s="303">
        <f>INDEX($A$87:$H$100,MATCH($L95,$B$87:$B$100,0),MATCH($AO$86,$A$87:$H$87,0))*고양시_Modal_split!L$3 * 0.01</f>
        <v>6.4530656979234209</v>
      </c>
      <c r="AY95" s="303">
        <f>INDEX($A$87:$H$100,MATCH($L95,$B$87:$B$100,0),MATCH($AO$86,$A$87:$H$87,0))*고양시_Modal_split!M$3 * 0.01</f>
        <v>0.49145864586833993</v>
      </c>
      <c r="AZ95" s="303">
        <f>INDEX($A$87:$H$100,MATCH($L95,$B$87:$B$100,0),MATCH($AO$86,$A$87:$H$87,0))*고양시_Modal_split!N$3 * 0.01</f>
        <v>0.21367767211666958</v>
      </c>
      <c r="BA95" s="207">
        <f>INDEX($A$87:$H$100,MATCH($L95,$B$87:$B$100,0),MATCH($AO$86,$A$87:$H$87,0))*고양시_Modal_split!O$3 * 0.01</f>
        <v>0.38461980981000515</v>
      </c>
      <c r="BB95" s="207">
        <f>INDEX($A$87:$H$100,MATCH($L95,$B$87:$B$100,0),MATCH($AO$86,$A$87:$H$87,0))*고양시_Modal_split!P$3 * 0.01</f>
        <v>213.67767211666956</v>
      </c>
      <c r="BC95" s="207">
        <f>INDEX($A$87:$H$100,MATCH($L95,$B$87:$B$100,0),MATCH($BC$86,$A$87:$H$87,0))*고양시_Modal_split!C$3 * 0.01</f>
        <v>9.4022653000525416E-4</v>
      </c>
      <c r="BD95" s="207">
        <f>INDEX($A$87:$H$100,MATCH($L95,$B$87:$B$100,0),MATCH($BC$86,$A$87:$H$87,0))*고양시_Modal_split!D$3 * 0.01</f>
        <v>0.15792447752195396</v>
      </c>
      <c r="BE95" s="207">
        <f>INDEX($A$87:$H$100,MATCH($L95,$B$87:$B$100,0),MATCH($BC$86,$A$87:$H$87,0))*고양시_Modal_split!E$3 * 0.01</f>
        <v>1.9106746270463916E-2</v>
      </c>
      <c r="BF95" s="207">
        <f>INDEX($A$87:$H$100,MATCH($L95,$B$87:$B$100,0),MATCH($BC$86,$A$87:$H$87,0))*고양시_Modal_split!F$3 * 0.01</f>
        <v>3.0792418857672074E-2</v>
      </c>
      <c r="BG95" s="207">
        <f>INDEX($A$87:$H$100,MATCH($L95,$B$87:$B$100,0),MATCH($BC$86,$A$87:$H$87,0))*고양시_Modal_split!G$3 * 0.01</f>
        <v>3.0893157414458349E-3</v>
      </c>
      <c r="BH95" s="207">
        <f>INDEX($A$87:$H$100,MATCH($L95,$B$87:$B$100,0),MATCH($BC$86,$A$87:$H$87,0))*고양시_Modal_split!H$3 * 0.01</f>
        <v>3.3579518928759079E-5</v>
      </c>
      <c r="BI95" s="207">
        <f>INDEX($A$87:$H$100,MATCH($L95,$B$87:$B$100,0),MATCH($BC$86,$A$87:$H$87,0))*고양시_Modal_split!I$3 * 0.01</f>
        <v>9.3351062621950236E-3</v>
      </c>
      <c r="BJ95" s="207">
        <f>INDEX($A$87:$H$100,MATCH($L95,$B$87:$B$100,0),MATCH($BC$86,$A$87:$H$87,0))*고양시_Modal_split!J$3 * 0.01</f>
        <v>0.10221605561914263</v>
      </c>
      <c r="BK95" s="207">
        <f>INDEX($A$87:$H$100,MATCH($L95,$B$87:$B$100,0),MATCH($BC$86,$A$87:$H$87,0))*고양시_Modal_split!K$3 * 0.01</f>
        <v>5.036927839313862E-4</v>
      </c>
      <c r="BL95" s="207">
        <f>INDEX($A$87:$H$100,MATCH($L95,$B$87:$B$100,0),MATCH($BC$86,$A$87:$H$87,0))*고양시_Modal_split!L$3 * 0.01</f>
        <v>1.0141014716485241E-2</v>
      </c>
      <c r="BM95" s="207">
        <f>INDEX($A$87:$H$100,MATCH($L95,$B$87:$B$100,0),MATCH($BC$86,$A$87:$H$87,0))*고양시_Modal_split!M$3 * 0.01</f>
        <v>7.7232893536145872E-4</v>
      </c>
      <c r="BN95" s="207">
        <f>INDEX($A$87:$H$100,MATCH($L95,$B$87:$B$100,0),MATCH($BC$86,$A$87:$H$87,0))*고양시_Modal_split!N$3 * 0.01</f>
        <v>3.3579518928759082E-4</v>
      </c>
      <c r="BO95" s="207">
        <f>INDEX($A$87:$H$100,MATCH($L95,$B$87:$B$100,0),MATCH($BC$86,$A$87:$H$87,0))*고양시_Modal_split!O$3 * 0.01</f>
        <v>6.0443134071766339E-4</v>
      </c>
      <c r="BP95" s="207">
        <f>INDEX($A$87:$H$100,MATCH($L95,$B$87:$B$100,0),MATCH($BC$86,$A$87:$H$87,0))*고양시_Modal_split!P$3 * 0.01</f>
        <v>0.33579518928759078</v>
      </c>
      <c r="BQ95" s="207">
        <f>INDEX($A$87:$H$100,MATCH($L95,$B$87:$B$100,0),MATCH($BQ$86,$A$87:$H$87,0))*고양시_Modal_split!C$3 * 0.01</f>
        <v>3.5519668911309478E-3</v>
      </c>
      <c r="BR95" s="207">
        <f>INDEX($A$87:$H$100,MATCH($L95,$B$87:$B$100,0),MATCH($BQ$86,$A$87:$H$87,0))*고양시_Modal_split!D$3 * 0.01</f>
        <v>0.59660358174960182</v>
      </c>
      <c r="BS95" s="207">
        <f>INDEX($A$87:$H$100,MATCH($L95,$B$87:$B$100,0),MATCH($BQ$86,$A$87:$H$87,0))*고양시_Modal_split!E$3 * 0.01</f>
        <v>7.2181041466196763E-2</v>
      </c>
      <c r="BT95" s="207">
        <f>INDEX($A$87:$H$100,MATCH($L95,$B$87:$B$100,0),MATCH($BQ$86,$A$87:$H$87,0))*고양시_Modal_split!F$3 * 0.01</f>
        <v>0.11632691568453857</v>
      </c>
      <c r="BU95" s="207">
        <f>INDEX($A$87:$H$100,MATCH($L95,$B$87:$B$100,0),MATCH($BQ$86,$A$87:$H$87,0))*고양시_Modal_split!G$3 * 0.01</f>
        <v>1.1670748356573115E-2</v>
      </c>
      <c r="BV95" s="207">
        <f>INDEX($A$87:$H$100,MATCH($L95,$B$87:$B$100,0),MATCH($BQ$86,$A$87:$H$87,0))*고양시_Modal_split!H$3 * 0.01</f>
        <v>1.2685596039753387E-4</v>
      </c>
      <c r="BW95" s="207">
        <f>INDEX($A$87:$H$100,MATCH($L95,$B$87:$B$100,0),MATCH($BQ$86,$A$87:$H$87,0))*고양시_Modal_split!I$3 * 0.01</f>
        <v>3.5265956990514415E-2</v>
      </c>
      <c r="BX95" s="207">
        <f>INDEX($A$87:$H$100,MATCH($L95,$B$87:$B$100,0),MATCH($BQ$86,$A$87:$H$87,0))*고양시_Modal_split!J$3 * 0.01</f>
        <v>0.38614954345009311</v>
      </c>
      <c r="BY95" s="207">
        <f>INDEX($A$87:$H$100,MATCH($L95,$B$87:$B$100,0),MATCH($BQ$86,$A$87:$H$87,0))*고양시_Modal_split!K$3 * 0.01</f>
        <v>1.9028394059630081E-3</v>
      </c>
      <c r="BZ95" s="207">
        <f>INDEX($A$87:$H$100,MATCH($L95,$B$87:$B$100,0),MATCH($BQ$86,$A$87:$H$87,0))*고양시_Modal_split!L$3 * 0.01</f>
        <v>3.8310500040055227E-2</v>
      </c>
      <c r="CA95" s="207">
        <f>INDEX($A$87:$H$100,MATCH($L95,$B$87:$B$100,0),MATCH($BQ$86,$A$87:$H$87,0))*고양시_Modal_split!M$3 * 0.01</f>
        <v>2.9176870891432787E-3</v>
      </c>
      <c r="CB95" s="207">
        <f>INDEX($A$87:$H$100,MATCH($L95,$B$87:$B$100,0),MATCH($BQ$86,$A$87:$H$87,0))*고양시_Modal_split!N$3 * 0.01</f>
        <v>1.2685596039753385E-3</v>
      </c>
      <c r="CC95" s="207">
        <f>INDEX($A$87:$H$100,MATCH($L95,$B$87:$B$100,0),MATCH($BQ$86,$A$87:$H$87,0))*고양시_Modal_split!O$3 * 0.01</f>
        <v>2.2834072871556095E-3</v>
      </c>
      <c r="CD95" s="207">
        <f>INDEX($A$87:$H$100,MATCH($L95,$B$87:$B$100,0),MATCH($BQ$86,$A$87:$H$87,0))*고양시_Modal_split!P$3 * 0.01</f>
        <v>1.2685596039753386</v>
      </c>
      <c r="CE95" s="304">
        <f t="shared" si="69"/>
        <v>12.473045147049648</v>
      </c>
      <c r="CF95" s="304">
        <f t="shared" si="51"/>
        <v>2095.0261188062323</v>
      </c>
      <c r="CG95" s="304">
        <f t="shared" si="52"/>
        <v>253.47009602397321</v>
      </c>
      <c r="CH95" s="304">
        <f t="shared" si="53"/>
        <v>408.49222856587608</v>
      </c>
      <c r="CI95" s="304">
        <f t="shared" si="54"/>
        <v>40.982862626020278</v>
      </c>
      <c r="CJ95" s="304">
        <f t="shared" si="55"/>
        <v>0.44546589810891601</v>
      </c>
      <c r="CK95" s="304">
        <f t="shared" si="56"/>
        <v>123.83951967427866</v>
      </c>
      <c r="CL95" s="304">
        <f t="shared" si="57"/>
        <v>1355.9981938435403</v>
      </c>
      <c r="CM95" s="304">
        <f t="shared" si="58"/>
        <v>6.6819884716337405</v>
      </c>
      <c r="CN95" s="304">
        <f t="shared" si="59"/>
        <v>134.53070122889267</v>
      </c>
      <c r="CO95" s="304">
        <f t="shared" si="60"/>
        <v>10.24571565650507</v>
      </c>
      <c r="CP95" s="304">
        <f t="shared" si="61"/>
        <v>4.4546589810891604</v>
      </c>
      <c r="CQ95" s="304">
        <f t="shared" si="62"/>
        <v>8.0183861659604876</v>
      </c>
      <c r="CR95" s="304">
        <f t="shared" si="63"/>
        <v>4454.658981089161</v>
      </c>
      <c r="CS95" s="305">
        <f t="shared" si="70"/>
        <v>0</v>
      </c>
      <c r="CV95" s="267" t="s">
        <v>168</v>
      </c>
      <c r="CW95" s="267" t="s">
        <v>168</v>
      </c>
      <c r="CX95" s="267">
        <f>INDEX($M$86:$Z$100,MATCH($CW95,$L$86:$L$100,0),MATCH(CX$87,$M$87:$Z$87,0))/INDEX(고양시_재차인원!$D$4:$H$35,MATCH("고양시",고양시_재차인원!$B$4:$B$35,0),MATCH($CX$86,고양시_재차인원!$D$4:$H$4,0))</f>
        <v>216.11212727557734</v>
      </c>
      <c r="CY95" s="267">
        <f>INDEX($M$86:$Z$100,MATCH($CW95,$L$86:$L$100,0),MATCH(CY$87,$M$87:$Z$87,0))/INDEX(고양시_재차인원!$K$4:$O$20,MATCH("경기도",고양시_재차인원!$K$4:$K$20,0),MATCH($CY$87,고양시_재차인원!$K$4:$O$4,0))</f>
        <v>1.7876418667874647E-3</v>
      </c>
      <c r="CZ95" s="267">
        <f>INDEX($M$86:$Z$100,MATCH($CW95,$L$86:$L$100,0),MATCH(CZ$87,$M$87:$Z$87,0))/INDEX(고양시_재차인원!$K$4:$O$20,MATCH("경기도",고양시_재차인원!$K$4:$K$20,0),MATCH($CZ$87,고양시_재차인원!$K$4:$O$4,0))</f>
        <v>0.49696443896691511</v>
      </c>
      <c r="DA95" s="267">
        <f>INDEX($M$86:$Z$100,MATCH($CW95,$L$86:$L$100,0),MATCH(DA$87,$M$87:$Z$87,0))/INDEX(고양시_재차인원!$D$4:$H$35,MATCH("고양시",고양시_재차인원!$B$4:$B$35,0),MATCH($CX$86,고양시_재차인원!$D$4:$H$4,0))</f>
        <v>13.877495734047278</v>
      </c>
      <c r="DB95" s="267">
        <f>INDEX($AA$86:$AN$100,MATCH($CW95,$L$86:$L$100,0),MATCH(DB$87,$AA$87:$AN$87,0))/INDEX(고양시_재차인원!$D$4:$H$35,MATCH("고양시",고양시_재차인원!$B$4:$B$35,0),MATCH($DB$86,고양시_재차인원!$D$4:$H$4,0))</f>
        <v>1242.3641127672654</v>
      </c>
      <c r="DC95" s="267">
        <f>INDEX($AA$86:$AN$100,MATCH($CW95,$L$86:$L$100,0),MATCH(DC$87,$AA$87:$AN$87,0))/INDEX(고양시_재차인원!$K$4:$O$20,MATCH("경기도",고양시_재차인원!$K$4:$K$20,0),MATCH(DC$87,고양시_재차인원!$K$4:$O$4,0))</f>
        <v>1.293752990875692E-2</v>
      </c>
      <c r="DD95" s="267">
        <f>INDEX($AA$86:$AN$100,MATCH($CW95,$L$86:$L$100,0),MATCH(DD$87,$AA$87:$AN$87,0))/INDEX(고양시_재차인원!$K$4:$O$20,MATCH("경기도",고양시_재차인원!$K$4:$K$20,0),MATCH(DD$87,고양시_재차인원!$K$4:$O$4,0))</f>
        <v>3.5966333146344236</v>
      </c>
      <c r="DE95" s="267">
        <f>INDEX($AA$86:$AN$100,MATCH($CW95,$L$86:$L$100,0),MATCH(DE$87,$AA$87:$AN$87,0))/INDEX(고양시_재차인원!$D$4:$H$35,MATCH("고양시",고양시_재차인원!$B$4:$B$35,0),MATCH($DB$86,고양시_재차인원!$D$4:$H$4,0))</f>
        <v>79.777580705021094</v>
      </c>
      <c r="DF95" s="267">
        <f>INDEX($AO$86:$BB$100,MATCH($CW95,$L$86:$L$100,0),MATCH(DF$87,$AO$87:$BB$87,0))/INDEX(고양시_재차인원!$D$4:$H$35,MATCH("고양시",고양시_재차인원!$B$4:$B$35,0),MATCH($DF$86,고양시_재차인원!$D$4:$H$4,0))</f>
        <v>77.302007074207467</v>
      </c>
      <c r="DG95" s="267">
        <f>INDEX($AO$86:$BB$100,MATCH($CW95,$L$86:$L$100,0),MATCH(DG$87,$AO$87:$BB$87,0))/INDEX(고양시_재차인원!$K$4:$O$20,MATCH("경기도",고양시_재차인원!$K$4:$K$20,0),MATCH(DG$87,고양시_재차인원!$K$4:$O$4,0))</f>
        <v>7.4219406778975184E-4</v>
      </c>
      <c r="DH95" s="267">
        <f>INDEX($AO$86:$BB$100,MATCH($CW95,$L$86:$L$100,0),MATCH(DH$87,$AO$87:$BB$87,0))/INDEX(고양시_재차인원!$K$4:$O$20,MATCH("경기도",고양시_재차인원!$K$4:$K$20,0),MATCH(DH$87,고양시_재차인원!$K$4:$O$4,0))</f>
        <v>0.20632995084555103</v>
      </c>
      <c r="DI95" s="267">
        <f>INDEX($AO$86:$BB$100,MATCH($CW95,$L$86:$L$100,0),MATCH(DI$87,$AO$87:$BB$87,0))/INDEX(고양시_재차인원!$D$4:$H$35,MATCH("고양시",고양시_재차인원!$B$4:$B$35,0),MATCH($DF$86,고양시_재차인원!$D$4:$H$4,0))</f>
        <v>4.9638966907103237</v>
      </c>
      <c r="DJ95" s="267">
        <f>INDEX($BC$86:$BP$100,MATCH($CW95,$L$86:$L$100,0),MATCH(DJ$87,$BC$87:$BP$87,0))/INDEX(고양시_재차인원!$D$4:$H$35,MATCH("고양시",고양시_재차인원!$B$4:$B$35,0),MATCH($DJ$86,고양시_재차인원!$D$4:$H$4,0))</f>
        <v>0.11612093935437791</v>
      </c>
      <c r="DK95" s="267">
        <f>INDEX($BC$86:$BP$100,MATCH($CW95,$L$86:$L$100,0),MATCH(DK$87,$BC$87:$BP$87,0))/INDEX(고양시_재차인원!$K$4:$O$20,MATCH("경기도",고양시_재차인원!$K$4:$K$20,0),MATCH(DK$87,고양시_재차인원!$K$4:$O$4,0))</f>
        <v>1.1663605046460257E-6</v>
      </c>
      <c r="DL95" s="267">
        <f>INDEX($BC$86:$BP$100,MATCH($CW95,$L$86:$L$100,0),MATCH(DL$87,$BC$87:$BP$87,0))/INDEX(고양시_재차인원!$K$4:$O$20,MATCH("경기도",고양시_재차인원!$K$4:$K$20,0),MATCH(DL$87,고양시_재차인원!$K$4:$O$4,0))</f>
        <v>3.2424822029159515E-4</v>
      </c>
      <c r="DM95" s="267">
        <f>INDEX($BC$86:$BP$100,MATCH($CW95,$L$86:$L$100,0),MATCH(DM$87,$BC$87:$BP$87,0))/INDEX(고양시_재차인원!$D$4:$H$35,MATCH("고양시",고양시_재차인원!$B$4:$B$35,0),MATCH($DJ$86,고양시_재차인원!$D$4:$H$4,0))</f>
        <v>7.4566284680038534E-3</v>
      </c>
      <c r="DN95" s="267">
        <f>INDEX($BQ$86:$CD$100,MATCH($CW95,$L$86:$L$100,0),MATCH(DN$87,$BQ$87:$CD$87,0))/INDEX(고양시_재차인원!$D$4:$H$35,MATCH("고양시",고양시_재차인원!$B$4:$B$35,0),MATCH($DN$86,고양시_재차인원!$D$4:$H$4,0))</f>
        <v>0.47349490615047762</v>
      </c>
      <c r="DO95" s="267">
        <f>INDEX($BQ$86:$CD$100,MATCH($CW95,$L$86:$L$100,0),MATCH(DO$87,$BQ$87:$CD$87,0))/INDEX(고양시_재차인원!$K$4:$O$20,MATCH("경기도",고양시_재차인원!$K$4:$K$20,0),MATCH(DO$87,고양시_재차인원!$K$4:$O$4,0))</f>
        <v>4.4062507953294153E-6</v>
      </c>
      <c r="DP95" s="267">
        <f>INDEX($BQ$86:$CD$100,MATCH($CW95,$L$86:$L$100,0),MATCH(DP$87,$BQ$87:$CD$87,0))/INDEX(고양시_재차인원!$K$4:$O$20,MATCH("경기도",고양시_재차인원!$K$4:$K$20,0),MATCH(DP$87,고양시_재차인원!$K$4:$O$4,0))</f>
        <v>1.2249377211015775E-3</v>
      </c>
      <c r="DQ95" s="267">
        <f>INDEX($BQ$86:$CD$100,MATCH($CW95,$L$86:$L$100,0),MATCH(DQ$87,$BQ$87:$CD$87,0))/INDEX(고양시_재차인원!$D$4:$H$35,MATCH("고양시",고양시_재차인원!$B$4:$B$35,0),MATCH($DN$86,고양시_재차인원!$D$4:$H$4,0))</f>
        <v>3.0405158761948593E-2</v>
      </c>
      <c r="DR95" s="270">
        <f t="shared" si="71"/>
        <v>1536.3678629625551</v>
      </c>
      <c r="DS95" s="270">
        <f t="shared" si="64"/>
        <v>1.547293845463411E-2</v>
      </c>
      <c r="DT95" s="270">
        <f t="shared" si="65"/>
        <v>4.3014768903882823</v>
      </c>
      <c r="DU95" s="270">
        <f t="shared" si="66"/>
        <v>98.656834917008652</v>
      </c>
      <c r="DW95" s="278" t="s">
        <v>168</v>
      </c>
      <c r="DX95" s="278" t="s">
        <v>168</v>
      </c>
      <c r="DY95" s="281">
        <f t="shared" si="72"/>
        <v>1635.0246978795637</v>
      </c>
      <c r="DZ95" s="281">
        <f t="shared" si="73"/>
        <v>4.3169498288429162</v>
      </c>
      <c r="EB95" s="278" t="s">
        <v>47</v>
      </c>
      <c r="EC95" s="278" t="s">
        <v>47</v>
      </c>
      <c r="ED95" s="281">
        <f t="shared" ref="ED95:ED99" si="81">DY96</f>
        <v>248.55037870000538</v>
      </c>
      <c r="EE95" s="281">
        <f t="shared" si="80"/>
        <v>0.65624667087864752</v>
      </c>
      <c r="EK95" s="420" t="s">
        <v>168</v>
      </c>
      <c r="EL95" s="420" t="s">
        <v>168</v>
      </c>
      <c r="EM95" s="420" t="s">
        <v>79</v>
      </c>
      <c r="EN95" s="420">
        <v>36231.236499999999</v>
      </c>
      <c r="EO95" s="420">
        <v>0.21506476976864181</v>
      </c>
      <c r="EP95" s="421">
        <v>849008</v>
      </c>
      <c r="EQ95" s="422">
        <f t="shared" si="75"/>
        <v>341.61457822436944</v>
      </c>
      <c r="ER95" s="422">
        <f t="shared" si="76"/>
        <v>0.90196374214315744</v>
      </c>
      <c r="ES95">
        <v>0</v>
      </c>
      <c r="EU95" s="306" t="s">
        <v>168</v>
      </c>
      <c r="EV95" s="306" t="s">
        <v>168</v>
      </c>
      <c r="EW95" s="306" t="s">
        <v>79</v>
      </c>
      <c r="EX95" s="306">
        <v>36231.236499999999</v>
      </c>
      <c r="EY95" s="306">
        <v>0.21506476976864181</v>
      </c>
      <c r="EZ95" s="307">
        <v>849008</v>
      </c>
      <c r="FA95" s="308">
        <f t="shared" si="77"/>
        <v>341.61457822436944</v>
      </c>
      <c r="FB95" s="308">
        <f t="shared" si="68"/>
        <v>0.90196374214315744</v>
      </c>
      <c r="FD95" s="101"/>
      <c r="FE95" s="101"/>
      <c r="FF95" s="101"/>
      <c r="FG95" s="101"/>
      <c r="FH95" s="101"/>
      <c r="FI95" s="374"/>
      <c r="FJ95" s="404"/>
      <c r="FK95" s="404"/>
    </row>
    <row r="96" spans="1:167" ht="25">
      <c r="A96" s="205" t="s">
        <v>47</v>
      </c>
      <c r="B96" s="205" t="s">
        <v>47</v>
      </c>
      <c r="C96" s="201">
        <f>$K37*KTDB_TripDistribution_2040!T$12</f>
        <v>78.237018923911151</v>
      </c>
      <c r="D96" s="201">
        <f>$K37*KTDB_TripDistribution_2040!U$12</f>
        <v>566.21731181485177</v>
      </c>
      <c r="E96" s="201">
        <f>$K37*KTDB_TripDistribution_2040!V$12</f>
        <v>32.482485673281161</v>
      </c>
      <c r="F96" s="201">
        <f>$K37*KTDB_TripDistribution_2040!W$12</f>
        <v>5.1046336835957995E-2</v>
      </c>
      <c r="G96" s="201">
        <f>$K37*KTDB_TripDistribution_2040!X$12</f>
        <v>0.19284171693584068</v>
      </c>
      <c r="H96" s="201">
        <f>$K37*KTDB_TripDistribution_2040!Y$12</f>
        <v>677.18070446581601</v>
      </c>
      <c r="I96" s="56"/>
      <c r="J96" s="56"/>
      <c r="K96" s="206" t="s">
        <v>47</v>
      </c>
      <c r="L96" s="206" t="s">
        <v>47</v>
      </c>
      <c r="M96" s="206">
        <f>INDEX($A$87:$H$100,MATCH($L96,$B$87:$B$100,0),MATCH($M$86,$A$87:$H$87,0))*고양시_Modal_split!C$3 * 0.01</f>
        <v>0.21906365298695121</v>
      </c>
      <c r="N96" s="206">
        <f>INDEX($A$87:$H$100,MATCH($L96,$B$87:$B$100,0),MATCH($M$86,$A$87:$H$87,0))*고양시_Modal_split!D$3 * 0.01</f>
        <v>36.794869999915413</v>
      </c>
      <c r="O96" s="206">
        <f>INDEX($A$87:$H$100,MATCH($L96,$B$87:$B$100,0),MATCH($M$86,$A$87:$H$87,0))*고양시_Modal_split!E$3 * 0.01</f>
        <v>4.4516863767705441</v>
      </c>
      <c r="P96" s="206">
        <f>INDEX($A$87:$H$100,MATCH($L96,$B$87:$B$100,0),MATCH($M$86,$A$87:$H$87,0))*고양시_Modal_split!F$3 * 0.01</f>
        <v>7.1743346353226523</v>
      </c>
      <c r="Q96" s="206">
        <f>INDEX($A$87:$H$100,MATCH($L96,$B$87:$B$100,0),MATCH($M$86,$A$87:$H$87,0))*고양시_Modal_split!G$3 * 0.01</f>
        <v>0.71978057409998264</v>
      </c>
      <c r="R96" s="206">
        <f>INDEX($A$87:$H$100,MATCH($L96,$B$87:$B$100,0),MATCH($M$86,$A$87:$H$87,0))*고양시_Modal_split!H$3 * 0.01</f>
        <v>7.8237018923911147E-3</v>
      </c>
      <c r="S96" s="206">
        <f>INDEX($A$87:$H$100,MATCH($L96,$B$87:$B$100,0),MATCH($M$86,$A$87:$H$87,0))*고양시_Modal_split!I$3 * 0.01</f>
        <v>2.1749891260847298</v>
      </c>
      <c r="T96" s="206">
        <f>INDEX($A$87:$H$100,MATCH($L96,$B$87:$B$100,0),MATCH($M$86,$A$87:$H$87,0))*고양시_Modal_split!J$3 * 0.01</f>
        <v>23.815348560438558</v>
      </c>
      <c r="U96" s="206">
        <f>INDEX($A$87:$H$100,MATCH($L96,$B$87:$B$100,0),MATCH($M$86,$A$87:$H$87,0))*고양시_Modal_split!K$3 * 0.01</f>
        <v>0.11735552838586673</v>
      </c>
      <c r="V96" s="206">
        <f>INDEX($A$87:$H$100,MATCH($L96,$B$87:$B$100,0),MATCH($M$86,$A$87:$H$87,0))*고양시_Modal_split!L$3 * 0.01</f>
        <v>2.3627579715021167</v>
      </c>
      <c r="W96" s="206">
        <f>INDEX($A$87:$H$100,MATCH($L96,$B$87:$B$100,0),MATCH($M$86,$A$87:$H$87,0))*고양시_Modal_split!M$3 * 0.01</f>
        <v>0.17994514352499566</v>
      </c>
      <c r="X96" s="206">
        <f>INDEX($A$87:$H$100,MATCH($L96,$B$87:$B$100,0),MATCH($M$86,$A$87:$H$87,0))*고양시_Modal_split!N$3 * 0.01</f>
        <v>7.8237018923911161E-2</v>
      </c>
      <c r="Y96" s="206">
        <f>INDEX($A$87:$H$100,MATCH($L96,$B$87:$B$100,0),MATCH($M$86,$A$87:$H$87,0))*고양시_Modal_split!O$3 * 0.01</f>
        <v>0.14082663406304008</v>
      </c>
      <c r="Z96" s="209">
        <f>INDEX($A$87:$H$100,MATCH($L96,$B$87:$B$100,0),MATCH($M$86,$A$87:$H$87,0))*고양시_Modal_split!P$3 * 0.01</f>
        <v>78.237018923911151</v>
      </c>
      <c r="AA96" s="207">
        <f>INDEX($A$87:$H$100,MATCH($L96,$B$87:$B$100,0),MATCH($AA$86,$A$87:$H$87,0))*고양시_Modal_split!C$3 * 0.01</f>
        <v>1.5854084730815847</v>
      </c>
      <c r="AB96" s="207">
        <f>INDEX($A$87:$H$100,MATCH($L96,$B$87:$B$100,0),MATCH($AA$86,$A$87:$H$87,0))*고양시_Modal_split!D$3 * 0.01</f>
        <v>266.29200174652482</v>
      </c>
      <c r="AC96" s="207">
        <f>INDEX($A$87:$H$100,MATCH($L96,$B$87:$B$100,0),MATCH($AA$86,$A$87:$H$87,0))*고양시_Modal_split!E$3 * 0.01</f>
        <v>32.217765042265064</v>
      </c>
      <c r="AD96" s="207">
        <f>INDEX($A$87:$H$100,MATCH($L96,$B$87:$B$100,0),MATCH($AA$86,$A$87:$H$87,0))*고양시_Modal_split!F$3 * 0.01</f>
        <v>51.922127493421904</v>
      </c>
      <c r="AE96" s="207">
        <f>INDEX($A$87:$H$100,MATCH($L96,$B$87:$B$100,0),MATCH($AA$86,$A$87:$H$87,0))*고양시_Modal_split!G$3 * 0.01</f>
        <v>5.2091992686966364</v>
      </c>
      <c r="AF96" s="207">
        <f>INDEX($A$87:$H$100,MATCH($L96,$B$87:$B$100,0),MATCH($AA$86,$A$87:$H$87,0))*고양시_Modal_split!H$3 * 0.01</f>
        <v>5.6621731181485176E-2</v>
      </c>
      <c r="AG96" s="207">
        <f>INDEX($A$87:$H$100,MATCH($L96,$B$87:$B$100,0),MATCH($AA$86,$A$87:$H$87,0))*고양시_Modal_split!I$3 * 0.01</f>
        <v>15.740841268452877</v>
      </c>
      <c r="AH96" s="207">
        <f>INDEX($A$87:$H$100,MATCH($L96,$B$87:$B$100,0),MATCH($AA$86,$A$87:$H$87,0))*고양시_Modal_split!J$3 * 0.01</f>
        <v>172.3565497164409</v>
      </c>
      <c r="AI96" s="207">
        <f>INDEX($A$87:$H$100,MATCH($L96,$B$87:$B$100,0),MATCH($AA$86,$A$87:$H$87,0))*고양시_Modal_split!K$3 * 0.01</f>
        <v>0.84932596772227775</v>
      </c>
      <c r="AJ96" s="207">
        <f>INDEX($A$87:$H$100,MATCH($L96,$B$87:$B$100,0),MATCH($AA$86,$A$87:$H$87,0))*고양시_Modal_split!L$3 * 0.01</f>
        <v>17.099762816808521</v>
      </c>
      <c r="AK96" s="207">
        <f>INDEX($A$87:$H$100,MATCH($L96,$B$87:$B$100,0),MATCH($AA$86,$A$87:$H$87,0))*고양시_Modal_split!M$3 * 0.01</f>
        <v>1.3022998171741591</v>
      </c>
      <c r="AL96" s="207">
        <f>INDEX($A$87:$H$100,MATCH($L96,$B$87:$B$100,0),MATCH($AA$86,$A$87:$H$87,0))*고양시_Modal_split!N$3 * 0.01</f>
        <v>0.5662173118148518</v>
      </c>
      <c r="AM96" s="207">
        <f>INDEX($A$87:$H$100,MATCH($L96,$B$87:$B$100,0),MATCH($AA$86,$A$87:$H$87,0))*고양시_Modal_split!O$3 * 0.01</f>
        <v>1.0191911612667333</v>
      </c>
      <c r="AN96" s="207">
        <f>INDEX($A$87:$H$100,MATCH($L96,$B$87:$B$100,0),MATCH($AA$86,$A$87:$H$87,0))*고양시_Modal_split!P$3 * 0.01</f>
        <v>566.21731181485177</v>
      </c>
      <c r="AO96" s="303">
        <f>INDEX($A$87:$H$100,MATCH($L96,$B$87:$B$100,0),MATCH($AO$86,$A$87:$H$87,0))*고양시_Modal_split!C$3 * 0.01</f>
        <v>9.0950959885187241E-2</v>
      </c>
      <c r="AP96" s="303">
        <f>INDEX($A$87:$H$100,MATCH($L96,$B$87:$B$100,0),MATCH($AO$86,$A$87:$H$87,0))*고양시_Modal_split!D$3 * 0.01</f>
        <v>15.276513012144131</v>
      </c>
      <c r="AQ96" s="303">
        <f>INDEX($A$87:$H$100,MATCH($L96,$B$87:$B$100,0),MATCH($AO$86,$A$87:$H$87,0))*고양시_Modal_split!E$3 * 0.01</f>
        <v>1.8482534348096979</v>
      </c>
      <c r="AR96" s="303">
        <f>INDEX($A$87:$H$100,MATCH($L96,$B$87:$B$100,0),MATCH($AO$86,$A$87:$H$87,0))*고양시_Modal_split!F$3 * 0.01</f>
        <v>2.9786439362398824</v>
      </c>
      <c r="AS96" s="303">
        <f>INDEX($A$87:$H$100,MATCH($L96,$B$87:$B$100,0),MATCH($AO$86,$A$87:$H$87,0))*고양시_Modal_split!G$3 * 0.01</f>
        <v>0.29883886819418665</v>
      </c>
      <c r="AT96" s="303">
        <f>INDEX($A$87:$H$100,MATCH($L96,$B$87:$B$100,0),MATCH($AO$86,$A$87:$H$87,0))*고양시_Modal_split!H$3 * 0.01</f>
        <v>3.2482485673281164E-3</v>
      </c>
      <c r="AU96" s="303">
        <f>INDEX($A$87:$H$100,MATCH($L96,$B$87:$B$100,0),MATCH($AO$86,$A$87:$H$87,0))*고양시_Modal_split!I$3 * 0.01</f>
        <v>0.90301310171721627</v>
      </c>
      <c r="AV96" s="303">
        <f>INDEX($A$87:$H$100,MATCH($L96,$B$87:$B$100,0),MATCH($AO$86,$A$87:$H$87,0))*고양시_Modal_split!J$3 * 0.01</f>
        <v>9.8876686389467867</v>
      </c>
      <c r="AW96" s="303">
        <f>INDEX($A$87:$H$100,MATCH($L96,$B$87:$B$100,0),MATCH($AO$86,$A$87:$H$87,0))*고양시_Modal_split!K$3 * 0.01</f>
        <v>4.8723728509921738E-2</v>
      </c>
      <c r="AX96" s="303">
        <f>INDEX($A$87:$H$100,MATCH($L96,$B$87:$B$100,0),MATCH($AO$86,$A$87:$H$87,0))*고양시_Modal_split!L$3 * 0.01</f>
        <v>0.98097106733309103</v>
      </c>
      <c r="AY96" s="303">
        <f>INDEX($A$87:$H$100,MATCH($L96,$B$87:$B$100,0),MATCH($AO$86,$A$87:$H$87,0))*고양시_Modal_split!M$3 * 0.01</f>
        <v>7.4709717048546662E-2</v>
      </c>
      <c r="AZ96" s="303">
        <f>INDEX($A$87:$H$100,MATCH($L96,$B$87:$B$100,0),MATCH($AO$86,$A$87:$H$87,0))*고양시_Modal_split!N$3 * 0.01</f>
        <v>3.2482485673281165E-2</v>
      </c>
      <c r="BA96" s="207">
        <f>INDEX($A$87:$H$100,MATCH($L96,$B$87:$B$100,0),MATCH($AO$86,$A$87:$H$87,0))*고양시_Modal_split!O$3 * 0.01</f>
        <v>5.8468474211906089E-2</v>
      </c>
      <c r="BB96" s="207">
        <f>INDEX($A$87:$H$100,MATCH($L96,$B$87:$B$100,0),MATCH($AO$86,$A$87:$H$87,0))*고양시_Modal_split!P$3 * 0.01</f>
        <v>32.482485673281161</v>
      </c>
      <c r="BC96" s="207">
        <f>INDEX($A$87:$H$100,MATCH($L96,$B$87:$B$100,0),MATCH($BC$86,$A$87:$H$87,0))*고양시_Modal_split!C$3 * 0.01</f>
        <v>1.4292974314068237E-4</v>
      </c>
      <c r="BD96" s="207">
        <f>INDEX($A$87:$H$100,MATCH($L96,$B$87:$B$100,0),MATCH($BC$86,$A$87:$H$87,0))*고양시_Modal_split!D$3 * 0.01</f>
        <v>2.4007092213951045E-2</v>
      </c>
      <c r="BE96" s="207">
        <f>INDEX($A$87:$H$100,MATCH($L96,$B$87:$B$100,0),MATCH($BC$86,$A$87:$H$87,0))*고양시_Modal_split!E$3 * 0.01</f>
        <v>2.9045365659660094E-3</v>
      </c>
      <c r="BF96" s="207">
        <f>INDEX($A$87:$H$100,MATCH($L96,$B$87:$B$100,0),MATCH($BC$86,$A$87:$H$87,0))*고양시_Modal_split!F$3 * 0.01</f>
        <v>4.6809490878573484E-3</v>
      </c>
      <c r="BG96" s="207">
        <f>INDEX($A$87:$H$100,MATCH($L96,$B$87:$B$100,0),MATCH($BC$86,$A$87:$H$87,0))*고양시_Modal_split!G$3 * 0.01</f>
        <v>4.6962629889081353E-4</v>
      </c>
      <c r="BH96" s="207">
        <f>INDEX($A$87:$H$100,MATCH($L96,$B$87:$B$100,0),MATCH($BC$86,$A$87:$H$87,0))*고양시_Modal_split!H$3 * 0.01</f>
        <v>5.1046336835958001E-6</v>
      </c>
      <c r="BI96" s="207">
        <f>INDEX($A$87:$H$100,MATCH($L96,$B$87:$B$100,0),MATCH($BC$86,$A$87:$H$87,0))*고양시_Modal_split!I$3 * 0.01</f>
        <v>1.4190881640396321E-3</v>
      </c>
      <c r="BJ96" s="207">
        <f>INDEX($A$87:$H$100,MATCH($L96,$B$87:$B$100,0),MATCH($BC$86,$A$87:$H$87,0))*고양시_Modal_split!J$3 * 0.01</f>
        <v>1.5538504932865614E-2</v>
      </c>
      <c r="BK96" s="207">
        <f>INDEX($A$87:$H$100,MATCH($L96,$B$87:$B$100,0),MATCH($BC$86,$A$87:$H$87,0))*고양시_Modal_split!K$3 * 0.01</f>
        <v>7.6569505253936987E-5</v>
      </c>
      <c r="BL96" s="207">
        <f>INDEX($A$87:$H$100,MATCH($L96,$B$87:$B$100,0),MATCH($BC$86,$A$87:$H$87,0))*고양시_Modal_split!L$3 * 0.01</f>
        <v>1.5415993724459316E-3</v>
      </c>
      <c r="BM96" s="207">
        <f>INDEX($A$87:$H$100,MATCH($L96,$B$87:$B$100,0),MATCH($BC$86,$A$87:$H$87,0))*고양시_Modal_split!M$3 * 0.01</f>
        <v>1.1740657472270338E-4</v>
      </c>
      <c r="BN96" s="207">
        <f>INDEX($A$87:$H$100,MATCH($L96,$B$87:$B$100,0),MATCH($BC$86,$A$87:$H$87,0))*고양시_Modal_split!N$3 * 0.01</f>
        <v>5.1046336835957996E-5</v>
      </c>
      <c r="BO96" s="207">
        <f>INDEX($A$87:$H$100,MATCH($L96,$B$87:$B$100,0),MATCH($BC$86,$A$87:$H$87,0))*고양시_Modal_split!O$3 * 0.01</f>
        <v>9.1883406304724404E-5</v>
      </c>
      <c r="BP96" s="207">
        <f>INDEX($A$87:$H$100,MATCH($L96,$B$87:$B$100,0),MATCH($BC$86,$A$87:$H$87,0))*고양시_Modal_split!P$3 * 0.01</f>
        <v>5.1046336835957995E-2</v>
      </c>
      <c r="BQ96" s="207">
        <f>INDEX($A$87:$H$100,MATCH($L96,$B$87:$B$100,0),MATCH($BQ$86,$A$87:$H$87,0))*고양시_Modal_split!C$3 * 0.01</f>
        <v>5.3995680742035385E-4</v>
      </c>
      <c r="BR96" s="207">
        <f>INDEX($A$87:$H$100,MATCH($L96,$B$87:$B$100,0),MATCH($BQ$86,$A$87:$H$87,0))*고양시_Modal_split!D$3 * 0.01</f>
        <v>9.069345947492588E-2</v>
      </c>
      <c r="BS96" s="207">
        <f>INDEX($A$87:$H$100,MATCH($L96,$B$87:$B$100,0),MATCH($BQ$86,$A$87:$H$87,0))*고양시_Modal_split!E$3 * 0.01</f>
        <v>1.0972693693649335E-2</v>
      </c>
      <c r="BT96" s="207">
        <f>INDEX($A$87:$H$100,MATCH($L96,$B$87:$B$100,0),MATCH($BQ$86,$A$87:$H$87,0))*고양시_Modal_split!F$3 * 0.01</f>
        <v>1.768358544301659E-2</v>
      </c>
      <c r="BU96" s="207">
        <f>INDEX($A$87:$H$100,MATCH($L96,$B$87:$B$100,0),MATCH($BQ$86,$A$87:$H$87,0))*고양시_Modal_split!G$3 * 0.01</f>
        <v>1.7741437958097342E-3</v>
      </c>
      <c r="BV96" s="207">
        <f>INDEX($A$87:$H$100,MATCH($L96,$B$87:$B$100,0),MATCH($BQ$86,$A$87:$H$87,0))*고양시_Modal_split!H$3 * 0.01</f>
        <v>1.928417169358407E-5</v>
      </c>
      <c r="BW96" s="207">
        <f>INDEX($A$87:$H$100,MATCH($L96,$B$87:$B$100,0),MATCH($BQ$86,$A$87:$H$87,0))*고양시_Modal_split!I$3 * 0.01</f>
        <v>5.3609997308163701E-3</v>
      </c>
      <c r="BX96" s="207">
        <f>INDEX($A$87:$H$100,MATCH($L96,$B$87:$B$100,0),MATCH($BQ$86,$A$87:$H$87,0))*고양시_Modal_split!J$3 * 0.01</f>
        <v>5.8701018635269907E-2</v>
      </c>
      <c r="BY96" s="207">
        <f>INDEX($A$87:$H$100,MATCH($L96,$B$87:$B$100,0),MATCH($BQ$86,$A$87:$H$87,0))*고양시_Modal_split!K$3 * 0.01</f>
        <v>2.8926257540376103E-4</v>
      </c>
      <c r="BZ96" s="207">
        <f>INDEX($A$87:$H$100,MATCH($L96,$B$87:$B$100,0),MATCH($BQ$86,$A$87:$H$87,0))*고양시_Modal_split!L$3 * 0.01</f>
        <v>5.8238198514623885E-3</v>
      </c>
      <c r="CA96" s="207">
        <f>INDEX($A$87:$H$100,MATCH($L96,$B$87:$B$100,0),MATCH($BQ$86,$A$87:$H$87,0))*고양시_Modal_split!M$3 * 0.01</f>
        <v>4.4353594895243356E-4</v>
      </c>
      <c r="CB96" s="207">
        <f>INDEX($A$87:$H$100,MATCH($L96,$B$87:$B$100,0),MATCH($BQ$86,$A$87:$H$87,0))*고양시_Modal_split!N$3 * 0.01</f>
        <v>1.9284171693584068E-4</v>
      </c>
      <c r="CC96" s="207">
        <f>INDEX($A$87:$H$100,MATCH($L96,$B$87:$B$100,0),MATCH($BQ$86,$A$87:$H$87,0))*고양시_Modal_split!O$3 * 0.01</f>
        <v>3.4711509048451322E-4</v>
      </c>
      <c r="CD96" s="207">
        <f>INDEX($A$87:$H$100,MATCH($L96,$B$87:$B$100,0),MATCH($BQ$86,$A$87:$H$87,0))*고양시_Modal_split!P$3 * 0.01</f>
        <v>0.19284171693584068</v>
      </c>
      <c r="CE96" s="304">
        <f t="shared" si="69"/>
        <v>1.8961059725042841</v>
      </c>
      <c r="CF96" s="304">
        <f t="shared" si="51"/>
        <v>318.47808531027323</v>
      </c>
      <c r="CG96" s="304">
        <f t="shared" si="52"/>
        <v>38.531582084104926</v>
      </c>
      <c r="CH96" s="304">
        <f t="shared" si="53"/>
        <v>62.097470599515312</v>
      </c>
      <c r="CI96" s="304">
        <f t="shared" si="54"/>
        <v>6.2300624810855068</v>
      </c>
      <c r="CJ96" s="304">
        <f t="shared" si="55"/>
        <v>6.7718070446581582E-2</v>
      </c>
      <c r="CK96" s="304">
        <f t="shared" si="56"/>
        <v>18.825623584149678</v>
      </c>
      <c r="CL96" s="304">
        <f t="shared" si="57"/>
        <v>206.13380643939439</v>
      </c>
      <c r="CM96" s="304">
        <f t="shared" si="58"/>
        <v>1.0157710566987241</v>
      </c>
      <c r="CN96" s="304">
        <f t="shared" si="59"/>
        <v>20.450857274867634</v>
      </c>
      <c r="CO96" s="304">
        <f t="shared" si="60"/>
        <v>1.5575156202713767</v>
      </c>
      <c r="CP96" s="304">
        <f t="shared" si="61"/>
        <v>0.6771807044658158</v>
      </c>
      <c r="CQ96" s="304">
        <f t="shared" si="62"/>
        <v>1.2189252680384688</v>
      </c>
      <c r="CR96" s="304">
        <f t="shared" si="63"/>
        <v>677.18070446581589</v>
      </c>
      <c r="CS96" s="305">
        <f t="shared" si="70"/>
        <v>0</v>
      </c>
      <c r="CV96" s="267" t="s">
        <v>47</v>
      </c>
      <c r="CW96" s="267" t="s">
        <v>47</v>
      </c>
      <c r="CX96" s="267">
        <f>INDEX($M$86:$Z$100,MATCH($CW96,$L$86:$L$100,0),MATCH(CX$87,$M$87:$Z$87,0))/INDEX(고양시_재차인원!$D$4:$H$35,MATCH("고양시",고양시_재차인원!$B$4:$B$35,0),MATCH($CX$86,고양시_재차인원!$D$4:$H$4,0))</f>
        <v>32.852562499924474</v>
      </c>
      <c r="CY96" s="267">
        <f>INDEX($M$86:$Z$100,MATCH($CW96,$L$86:$L$100,0),MATCH(CY$87,$M$87:$Z$87,0))/INDEX(고양시_재차인원!$K$4:$O$20,MATCH("경기도",고양시_재차인원!$K$4:$K$20,0),MATCH($CY$87,고양시_재차인원!$K$4:$O$4,0))</f>
        <v>2.7175067358079592E-4</v>
      </c>
      <c r="CZ96" s="267">
        <f>INDEX($M$86:$Z$100,MATCH($CW96,$L$86:$L$100,0),MATCH(CZ$87,$M$87:$Z$87,0))/INDEX(고양시_재차인원!$K$4:$O$20,MATCH("경기도",고양시_재차인원!$K$4:$K$20,0),MATCH($CZ$87,고양시_재차인원!$K$4:$O$4,0))</f>
        <v>7.5546687255461265E-2</v>
      </c>
      <c r="DA96" s="267">
        <f>INDEX($M$86:$Z$100,MATCH($CW96,$L$86:$L$100,0),MATCH(DA$87,$M$87:$Z$87,0))/INDEX(고양시_재차인원!$D$4:$H$35,MATCH("고양시",고양시_재차인원!$B$4:$B$35,0),MATCH($CX$86,고양시_재차인원!$D$4:$H$4,0))</f>
        <v>2.1096053316983183</v>
      </c>
      <c r="DB96" s="267">
        <f>INDEX($AA$86:$AN$100,MATCH($CW96,$L$86:$L$100,0),MATCH(DB$87,$AA$87:$AN$87,0))/INDEX(고양시_재차인원!$D$4:$H$35,MATCH("고양시",고양시_재차인원!$B$4:$B$35,0),MATCH($DB$86,고양시_재차인원!$D$4:$H$4,0))</f>
        <v>188.85957570675521</v>
      </c>
      <c r="DC96" s="267">
        <f>INDEX($AA$86:$AN$100,MATCH($CW96,$L$86:$L$100,0),MATCH(DC$87,$AA$87:$AN$87,0))/INDEX(고양시_재차인원!$K$4:$O$20,MATCH("경기도",고양시_재차인원!$K$4:$K$20,0),MATCH(DC$87,고양시_재차인원!$K$4:$O$4,0))</f>
        <v>1.9667152199195964E-3</v>
      </c>
      <c r="DD96" s="267">
        <f>INDEX($AA$86:$AN$100,MATCH($CW96,$L$86:$L$100,0),MATCH(DD$87,$AA$87:$AN$87,0))/INDEX(고양시_재차인원!$K$4:$O$20,MATCH("경기도",고양시_재차인원!$K$4:$K$20,0),MATCH(DD$87,고양시_재차인원!$K$4:$O$4,0))</f>
        <v>0.54674683113764777</v>
      </c>
      <c r="DE96" s="267">
        <f>INDEX($AA$86:$AN$100,MATCH($CW96,$L$86:$L$100,0),MATCH(DE$87,$AA$87:$AN$87,0))/INDEX(고양시_재차인원!$D$4:$H$35,MATCH("고양시",고양시_재차인원!$B$4:$B$35,0),MATCH($DB$86,고양시_재차인원!$D$4:$H$4,0))</f>
        <v>12.127491359438668</v>
      </c>
      <c r="DF96" s="267">
        <f>INDEX($AO$86:$BB$100,MATCH($CW96,$L$86:$L$100,0),MATCH(DF$87,$AO$87:$BB$87,0))/INDEX(고양시_재차인원!$D$4:$H$35,MATCH("고양시",고양시_재차인원!$B$4:$B$35,0),MATCH($DF$86,고양시_재차인원!$D$4:$H$4,0))</f>
        <v>11.751163855495484</v>
      </c>
      <c r="DG96" s="267">
        <f>INDEX($AO$86:$BB$100,MATCH($CW96,$L$86:$L$100,0),MATCH(DG$87,$AO$87:$BB$87,0))/INDEX(고양시_재차인원!$K$4:$O$20,MATCH("경기도",고양시_재차인원!$K$4:$K$20,0),MATCH(DG$87,고양시_재차인원!$K$4:$O$4,0))</f>
        <v>1.1282558413782968E-4</v>
      </c>
      <c r="DH96" s="267">
        <f>INDEX($AO$86:$BB$100,MATCH($CW96,$L$86:$L$100,0),MATCH(DH$87,$AO$87:$BB$87,0))/INDEX(고양시_재차인원!$K$4:$O$20,MATCH("경기도",고양시_재차인원!$K$4:$K$20,0),MATCH(DH$87,고양시_재차인원!$K$4:$O$4,0))</f>
        <v>3.1365512390316645E-2</v>
      </c>
      <c r="DI96" s="267">
        <f>INDEX($AO$86:$BB$100,MATCH($CW96,$L$86:$L$100,0),MATCH(DI$87,$AO$87:$BB$87,0))/INDEX(고양시_재차인원!$D$4:$H$35,MATCH("고양시",고양시_재차인원!$B$4:$B$35,0),MATCH($DF$86,고양시_재차인원!$D$4:$H$4,0))</f>
        <v>0.7545931287177623</v>
      </c>
      <c r="DJ96" s="267">
        <f>INDEX($BC$86:$BP$100,MATCH($CW96,$L$86:$L$100,0),MATCH(DJ$87,$BC$87:$BP$87,0))/INDEX(고양시_재차인원!$D$4:$H$35,MATCH("고양시",고양시_재차인원!$B$4:$B$35,0),MATCH($DJ$86,고양시_재차인원!$D$4:$H$4,0))</f>
        <v>1.7652273686728708E-2</v>
      </c>
      <c r="DK96" s="267">
        <f>INDEX($BC$86:$BP$100,MATCH($CW96,$L$86:$L$100,0),MATCH(DK$87,$BC$87:$BP$87,0))/INDEX(고양시_재차인원!$K$4:$O$20,MATCH("경기도",고양시_재차인원!$K$4:$K$20,0),MATCH(DK$87,고양시_재차인원!$K$4:$O$4,0))</f>
        <v>1.7730578963514415E-7</v>
      </c>
      <c r="DL96" s="267">
        <f>INDEX($BC$86:$BP$100,MATCH($CW96,$L$86:$L$100,0),MATCH(DL$87,$BC$87:$BP$87,0))/INDEX(고양시_재차인원!$K$4:$O$20,MATCH("경기도",고양시_재차인원!$K$4:$K$20,0),MATCH(DL$87,고양시_재차인원!$K$4:$O$4,0))</f>
        <v>4.9291009518570068E-5</v>
      </c>
      <c r="DM96" s="267">
        <f>INDEX($BC$86:$BP$100,MATCH($CW96,$L$86:$L$100,0),MATCH(DM$87,$BC$87:$BP$87,0))/INDEX(고양시_재차인원!$D$4:$H$35,MATCH("고양시",고양시_재차인원!$B$4:$B$35,0),MATCH($DJ$86,고양시_재차인원!$D$4:$H$4,0))</f>
        <v>1.1335289503278908E-3</v>
      </c>
      <c r="DN96" s="267">
        <f>INDEX($BQ$86:$CD$100,MATCH($CW96,$L$86:$L$100,0),MATCH(DN$87,$BQ$87:$CD$87,0))/INDEX(고양시_재차인원!$D$4:$H$35,MATCH("고양시",고양시_재차인원!$B$4:$B$35,0),MATCH($DN$86,고양시_재차인원!$D$4:$H$4,0))</f>
        <v>7.1978936091211018E-2</v>
      </c>
      <c r="DO96" s="267">
        <f>INDEX($BQ$86:$CD$100,MATCH($CW96,$L$86:$L$100,0),MATCH(DO$87,$BQ$87:$CD$87,0))/INDEX(고양시_재차인원!$K$4:$O$20,MATCH("경기도",고양시_재차인원!$K$4:$K$20,0),MATCH(DO$87,고양시_재차인원!$K$4:$O$4,0))</f>
        <v>6.6982187195498683E-7</v>
      </c>
      <c r="DP96" s="267">
        <f>INDEX($BQ$86:$CD$100,MATCH($CW96,$L$86:$L$100,0),MATCH(DP$87,$BQ$87:$CD$87,0))/INDEX(고양시_재차인원!$K$4:$O$20,MATCH("경기도",고양시_재차인원!$K$4:$K$20,0),MATCH(DP$87,고양시_재차인원!$K$4:$O$4,0))</f>
        <v>1.862104804034863E-4</v>
      </c>
      <c r="DQ96" s="267">
        <f>INDEX($BQ$86:$CD$100,MATCH($CW96,$L$86:$L$100,0),MATCH(DQ$87,$BQ$87:$CD$87,0))/INDEX(고양시_재차인원!$D$4:$H$35,MATCH("고양시",고양시_재차인원!$B$4:$B$35,0),MATCH($DN$86,고양시_재차인원!$D$4:$H$4,0))</f>
        <v>4.6220792471923719E-3</v>
      </c>
      <c r="DR96" s="270">
        <f t="shared" si="71"/>
        <v>233.55293327195312</v>
      </c>
      <c r="DS96" s="270">
        <f t="shared" si="64"/>
        <v>2.3521386052998122E-3</v>
      </c>
      <c r="DT96" s="270">
        <f t="shared" si="65"/>
        <v>0.65389453227334771</v>
      </c>
      <c r="DU96" s="270">
        <f t="shared" si="66"/>
        <v>14.99744542805227</v>
      </c>
      <c r="DW96" s="278" t="s">
        <v>47</v>
      </c>
      <c r="DX96" s="278" t="s">
        <v>47</v>
      </c>
      <c r="DY96" s="281">
        <f t="shared" si="72"/>
        <v>248.55037870000538</v>
      </c>
      <c r="DZ96" s="281">
        <f t="shared" si="73"/>
        <v>0.65624667087864752</v>
      </c>
      <c r="EB96" s="278" t="s">
        <v>169</v>
      </c>
      <c r="EC96" s="278" t="s">
        <v>169</v>
      </c>
      <c r="ED96" s="281">
        <f t="shared" si="81"/>
        <v>398.76833147415886</v>
      </c>
      <c r="EE96" s="281">
        <f t="shared" si="80"/>
        <v>1.0528665912740536</v>
      </c>
      <c r="EK96" s="420" t="s">
        <v>168</v>
      </c>
      <c r="EL96" s="420" t="s">
        <v>168</v>
      </c>
      <c r="EM96" s="420" t="s">
        <v>223</v>
      </c>
      <c r="EN96" s="420">
        <v>69072.016600000003</v>
      </c>
      <c r="EO96" s="420">
        <v>0.41000415063214324</v>
      </c>
      <c r="EP96" s="421">
        <v>849009</v>
      </c>
      <c r="EQ96" s="422">
        <f t="shared" si="75"/>
        <v>651.26145550996159</v>
      </c>
      <c r="ER96" s="422">
        <f t="shared" si="76"/>
        <v>1.7195232784812711</v>
      </c>
      <c r="ES96">
        <v>0</v>
      </c>
      <c r="EU96" s="306" t="s">
        <v>168</v>
      </c>
      <c r="EV96" s="306" t="s">
        <v>168</v>
      </c>
      <c r="EW96" s="306" t="s">
        <v>223</v>
      </c>
      <c r="EX96" s="306">
        <v>69072.016600000003</v>
      </c>
      <c r="EY96" s="306">
        <v>0.41000415063214324</v>
      </c>
      <c r="EZ96" s="307">
        <v>849009</v>
      </c>
      <c r="FA96" s="308">
        <f t="shared" si="77"/>
        <v>651.26145550996159</v>
      </c>
      <c r="FB96" s="308">
        <f t="shared" si="68"/>
        <v>1.7195232784812711</v>
      </c>
      <c r="FD96" s="101"/>
      <c r="FE96" s="101"/>
      <c r="FF96" s="101"/>
      <c r="FG96" s="101"/>
      <c r="FH96" s="101"/>
      <c r="FI96" s="374"/>
      <c r="FJ96" s="404"/>
      <c r="FK96" s="404"/>
    </row>
    <row r="97" spans="1:167" ht="25">
      <c r="A97" s="205" t="s">
        <v>169</v>
      </c>
      <c r="B97" s="205" t="s">
        <v>169</v>
      </c>
      <c r="C97" s="201">
        <f>$K38*KTDB_TripDistribution_2040!T$12</f>
        <v>125.52161722294559</v>
      </c>
      <c r="D97" s="201">
        <f>$K38*KTDB_TripDistribution_2040!U$12</f>
        <v>908.42562326857217</v>
      </c>
      <c r="E97" s="201">
        <f>$K38*KTDB_TripDistribution_2040!V$12</f>
        <v>52.11412946468112</v>
      </c>
      <c r="F97" s="201">
        <f>$K38*KTDB_TripDistribution_2040!W$12</f>
        <v>8.1897531898399101E-2</v>
      </c>
      <c r="G97" s="201">
        <f>$K38*KTDB_TripDistribution_2040!X$12</f>
        <v>0.30939067606061782</v>
      </c>
      <c r="H97" s="201">
        <f>$K38*KTDB_TripDistribution_2040!Y$12</f>
        <v>1086.452658164158</v>
      </c>
      <c r="I97" s="56"/>
      <c r="J97" s="56"/>
      <c r="K97" s="206" t="s">
        <v>169</v>
      </c>
      <c r="L97" s="206" t="s">
        <v>169</v>
      </c>
      <c r="M97" s="206">
        <f>INDEX($A$87:$H$100,MATCH($L97,$B$87:$B$100,0),MATCH($M$86,$A$87:$H$87,0))*고양시_Modal_split!C$3 * 0.01</f>
        <v>0.35146052822424767</v>
      </c>
      <c r="N97" s="206">
        <f>INDEX($A$87:$H$100,MATCH($L97,$B$87:$B$100,0),MATCH($M$86,$A$87:$H$87,0))*고양시_Modal_split!D$3 * 0.01</f>
        <v>59.032816579951316</v>
      </c>
      <c r="O97" s="206">
        <f>INDEX($A$87:$H$100,MATCH($L97,$B$87:$B$100,0),MATCH($M$86,$A$87:$H$87,0))*고양시_Modal_split!E$3 * 0.01</f>
        <v>7.1421800199856031</v>
      </c>
      <c r="P97" s="206">
        <f>INDEX($A$87:$H$100,MATCH($L97,$B$87:$B$100,0),MATCH($M$86,$A$87:$H$87,0))*고양시_Modal_split!F$3 * 0.01</f>
        <v>11.510332299344112</v>
      </c>
      <c r="Q97" s="206">
        <f>INDEX($A$87:$H$100,MATCH($L97,$B$87:$B$100,0),MATCH($M$86,$A$87:$H$87,0))*고양시_Modal_split!G$3 * 0.01</f>
        <v>1.1547988784510994</v>
      </c>
      <c r="R97" s="206">
        <f>INDEX($A$87:$H$100,MATCH($L97,$B$87:$B$100,0),MATCH($M$86,$A$87:$H$87,0))*고양시_Modal_split!H$3 * 0.01</f>
        <v>1.255216172229456E-2</v>
      </c>
      <c r="S97" s="206">
        <f>INDEX($A$87:$H$100,MATCH($L97,$B$87:$B$100,0),MATCH($M$86,$A$87:$H$87,0))*고양시_Modal_split!I$3 * 0.01</f>
        <v>3.4895009587978869</v>
      </c>
      <c r="T97" s="206">
        <f>INDEX($A$87:$H$100,MATCH($L97,$B$87:$B$100,0),MATCH($M$86,$A$87:$H$87,0))*고양시_Modal_split!J$3 * 0.01</f>
        <v>38.208780282664641</v>
      </c>
      <c r="U97" s="206">
        <f>INDEX($A$87:$H$100,MATCH($L97,$B$87:$B$100,0),MATCH($M$86,$A$87:$H$87,0))*고양시_Modal_split!K$3 * 0.01</f>
        <v>0.1882824258344184</v>
      </c>
      <c r="V97" s="206">
        <f>INDEX($A$87:$H$100,MATCH($L97,$B$87:$B$100,0),MATCH($M$86,$A$87:$H$87,0))*고양시_Modal_split!L$3 * 0.01</f>
        <v>3.7907528401329569</v>
      </c>
      <c r="W97" s="206">
        <f>INDEX($A$87:$H$100,MATCH($L97,$B$87:$B$100,0),MATCH($M$86,$A$87:$H$87,0))*고양시_Modal_split!M$3 * 0.01</f>
        <v>0.28869971961277485</v>
      </c>
      <c r="X97" s="206">
        <f>INDEX($A$87:$H$100,MATCH($L97,$B$87:$B$100,0),MATCH($M$86,$A$87:$H$87,0))*고양시_Modal_split!N$3 * 0.01</f>
        <v>0.12552161722294561</v>
      </c>
      <c r="Y97" s="206">
        <f>INDEX($A$87:$H$100,MATCH($L97,$B$87:$B$100,0),MATCH($M$86,$A$87:$H$87,0))*고양시_Modal_split!O$3 * 0.01</f>
        <v>0.22593891100130209</v>
      </c>
      <c r="Z97" s="209">
        <f>INDEX($A$87:$H$100,MATCH($L97,$B$87:$B$100,0),MATCH($M$86,$A$87:$H$87,0))*고양시_Modal_split!P$3 * 0.01</f>
        <v>125.52161722294559</v>
      </c>
      <c r="AA97" s="207">
        <f>INDEX($A$87:$H$100,MATCH($L97,$B$87:$B$100,0),MATCH($AA$86,$A$87:$H$87,0))*고양시_Modal_split!C$3 * 0.01</f>
        <v>2.543591745152002</v>
      </c>
      <c r="AB97" s="207">
        <f>INDEX($A$87:$H$100,MATCH($L97,$B$87:$B$100,0),MATCH($AA$86,$A$87:$H$87,0))*고양시_Modal_split!D$3 * 0.01</f>
        <v>427.23257062320948</v>
      </c>
      <c r="AC97" s="207">
        <f>INDEX($A$87:$H$100,MATCH($L97,$B$87:$B$100,0),MATCH($AA$86,$A$87:$H$87,0))*고양시_Modal_split!E$3 * 0.01</f>
        <v>51.689417963981754</v>
      </c>
      <c r="AD97" s="207">
        <f>INDEX($A$87:$H$100,MATCH($L97,$B$87:$B$100,0),MATCH($AA$86,$A$87:$H$87,0))*고양시_Modal_split!F$3 * 0.01</f>
        <v>83.302629653728076</v>
      </c>
      <c r="AE97" s="207">
        <f>INDEX($A$87:$H$100,MATCH($L97,$B$87:$B$100,0),MATCH($AA$86,$A$87:$H$87,0))*고양시_Modal_split!G$3 * 0.01</f>
        <v>8.3575157340708639</v>
      </c>
      <c r="AF97" s="207">
        <f>INDEX($A$87:$H$100,MATCH($L97,$B$87:$B$100,0),MATCH($AA$86,$A$87:$H$87,0))*고양시_Modal_split!H$3 * 0.01</f>
        <v>9.084256232685721E-2</v>
      </c>
      <c r="AG97" s="207">
        <f>INDEX($A$87:$H$100,MATCH($L97,$B$87:$B$100,0),MATCH($AA$86,$A$87:$H$87,0))*고양시_Modal_split!I$3 * 0.01</f>
        <v>25.254232326866305</v>
      </c>
      <c r="AH97" s="207">
        <f>INDEX($A$87:$H$100,MATCH($L97,$B$87:$B$100,0),MATCH($AA$86,$A$87:$H$87,0))*고양시_Modal_split!J$3 * 0.01</f>
        <v>276.52475972295338</v>
      </c>
      <c r="AI97" s="207">
        <f>INDEX($A$87:$H$100,MATCH($L97,$B$87:$B$100,0),MATCH($AA$86,$A$87:$H$87,0))*고양시_Modal_split!K$3 * 0.01</f>
        <v>1.3626384349028582</v>
      </c>
      <c r="AJ97" s="207">
        <f>INDEX($A$87:$H$100,MATCH($L97,$B$87:$B$100,0),MATCH($AA$86,$A$87:$H$87,0))*고양시_Modal_split!L$3 * 0.01</f>
        <v>27.434453822710879</v>
      </c>
      <c r="AK97" s="207">
        <f>INDEX($A$87:$H$100,MATCH($L97,$B$87:$B$100,0),MATCH($AA$86,$A$87:$H$87,0))*고양시_Modal_split!M$3 * 0.01</f>
        <v>2.089378933517716</v>
      </c>
      <c r="AL97" s="207">
        <f>INDEX($A$87:$H$100,MATCH($L97,$B$87:$B$100,0),MATCH($AA$86,$A$87:$H$87,0))*고양시_Modal_split!N$3 * 0.01</f>
        <v>0.90842562326857224</v>
      </c>
      <c r="AM97" s="207">
        <f>INDEX($A$87:$H$100,MATCH($L97,$B$87:$B$100,0),MATCH($AA$86,$A$87:$H$87,0))*고양시_Modal_split!O$3 * 0.01</f>
        <v>1.6351661218834297</v>
      </c>
      <c r="AN97" s="207">
        <f>INDEX($A$87:$H$100,MATCH($L97,$B$87:$B$100,0),MATCH($AA$86,$A$87:$H$87,0))*고양시_Modal_split!P$3 * 0.01</f>
        <v>908.42562326857228</v>
      </c>
      <c r="AO97" s="303">
        <f>INDEX($A$87:$H$100,MATCH($L97,$B$87:$B$100,0),MATCH($AO$86,$A$87:$H$87,0))*고양시_Modal_split!C$3 * 0.01</f>
        <v>0.14591956250110713</v>
      </c>
      <c r="AP97" s="303">
        <f>INDEX($A$87:$H$100,MATCH($L97,$B$87:$B$100,0),MATCH($AO$86,$A$87:$H$87,0))*고양시_Modal_split!D$3 * 0.01</f>
        <v>24.50927508723953</v>
      </c>
      <c r="AQ97" s="303">
        <f>INDEX($A$87:$H$100,MATCH($L97,$B$87:$B$100,0),MATCH($AO$86,$A$87:$H$87,0))*고양시_Modal_split!E$3 * 0.01</f>
        <v>2.9652939665403557</v>
      </c>
      <c r="AR97" s="303">
        <f>INDEX($A$87:$H$100,MATCH($L97,$B$87:$B$100,0),MATCH($AO$86,$A$87:$H$87,0))*고양시_Modal_split!F$3 * 0.01</f>
        <v>4.7788656719112588</v>
      </c>
      <c r="AS97" s="303">
        <f>INDEX($A$87:$H$100,MATCH($L97,$B$87:$B$100,0),MATCH($AO$86,$A$87:$H$87,0))*고양시_Modal_split!G$3 * 0.01</f>
        <v>0.47944999107506625</v>
      </c>
      <c r="AT97" s="303">
        <f>INDEX($A$87:$H$100,MATCH($L97,$B$87:$B$100,0),MATCH($AO$86,$A$87:$H$87,0))*고양시_Modal_split!H$3 * 0.01</f>
        <v>5.2114129464681126E-3</v>
      </c>
      <c r="AU97" s="303">
        <f>INDEX($A$87:$H$100,MATCH($L97,$B$87:$B$100,0),MATCH($AO$86,$A$87:$H$87,0))*고양시_Modal_split!I$3 * 0.01</f>
        <v>1.4487727991181349</v>
      </c>
      <c r="AV97" s="303">
        <f>INDEX($A$87:$H$100,MATCH($L97,$B$87:$B$100,0),MATCH($AO$86,$A$87:$H$87,0))*고양시_Modal_split!J$3 * 0.01</f>
        <v>15.863541009048934</v>
      </c>
      <c r="AW97" s="303">
        <f>INDEX($A$87:$H$100,MATCH($L97,$B$87:$B$100,0),MATCH($AO$86,$A$87:$H$87,0))*고양시_Modal_split!K$3 * 0.01</f>
        <v>7.8171194197021676E-2</v>
      </c>
      <c r="AX97" s="303">
        <f>INDEX($A$87:$H$100,MATCH($L97,$B$87:$B$100,0),MATCH($AO$86,$A$87:$H$87,0))*고양시_Modal_split!L$3 * 0.01</f>
        <v>1.5738467098333697</v>
      </c>
      <c r="AY97" s="303">
        <f>INDEX($A$87:$H$100,MATCH($L97,$B$87:$B$100,0),MATCH($AO$86,$A$87:$H$87,0))*고양시_Modal_split!M$3 * 0.01</f>
        <v>0.11986249776876656</v>
      </c>
      <c r="AZ97" s="303">
        <f>INDEX($A$87:$H$100,MATCH($L97,$B$87:$B$100,0),MATCH($AO$86,$A$87:$H$87,0))*고양시_Modal_split!N$3 * 0.01</f>
        <v>5.2114129464681122E-2</v>
      </c>
      <c r="BA97" s="207">
        <f>INDEX($A$87:$H$100,MATCH($L97,$B$87:$B$100,0),MATCH($AO$86,$A$87:$H$87,0))*고양시_Modal_split!O$3 * 0.01</f>
        <v>9.3805433036426022E-2</v>
      </c>
      <c r="BB97" s="207">
        <f>INDEX($A$87:$H$100,MATCH($L97,$B$87:$B$100,0),MATCH($AO$86,$A$87:$H$87,0))*고양시_Modal_split!P$3 * 0.01</f>
        <v>52.11412946468112</v>
      </c>
      <c r="BC97" s="207">
        <f>INDEX($A$87:$H$100,MATCH($L97,$B$87:$B$100,0),MATCH($BC$86,$A$87:$H$87,0))*고양시_Modal_split!C$3 * 0.01</f>
        <v>2.2931308931551747E-4</v>
      </c>
      <c r="BD97" s="207">
        <f>INDEX($A$87:$H$100,MATCH($L97,$B$87:$B$100,0),MATCH($BC$86,$A$87:$H$87,0))*고양시_Modal_split!D$3 * 0.01</f>
        <v>3.8516409251817096E-2</v>
      </c>
      <c r="BE97" s="207">
        <f>INDEX($A$87:$H$100,MATCH($L97,$B$87:$B$100,0),MATCH($BC$86,$A$87:$H$87,0))*고양시_Modal_split!E$3 * 0.01</f>
        <v>4.6599695650189083E-3</v>
      </c>
      <c r="BF97" s="207">
        <f>INDEX($A$87:$H$100,MATCH($L97,$B$87:$B$100,0),MATCH($BC$86,$A$87:$H$87,0))*고양시_Modal_split!F$3 * 0.01</f>
        <v>7.510003675083198E-3</v>
      </c>
      <c r="BG97" s="207">
        <f>INDEX($A$87:$H$100,MATCH($L97,$B$87:$B$100,0),MATCH($BC$86,$A$87:$H$87,0))*고양시_Modal_split!G$3 * 0.01</f>
        <v>7.5345729346527174E-4</v>
      </c>
      <c r="BH97" s="207">
        <f>INDEX($A$87:$H$100,MATCH($L97,$B$87:$B$100,0),MATCH($BC$86,$A$87:$H$87,0))*고양시_Modal_split!H$3 * 0.01</f>
        <v>8.1897531898399097E-6</v>
      </c>
      <c r="BI97" s="207">
        <f>INDEX($A$87:$H$100,MATCH($L97,$B$87:$B$100,0),MATCH($BC$86,$A$87:$H$87,0))*고양시_Modal_split!I$3 * 0.01</f>
        <v>2.2767513867754949E-3</v>
      </c>
      <c r="BJ97" s="207">
        <f>INDEX($A$87:$H$100,MATCH($L97,$B$87:$B$100,0),MATCH($BC$86,$A$87:$H$87,0))*고양시_Modal_split!J$3 * 0.01</f>
        <v>2.4929608709872687E-2</v>
      </c>
      <c r="BK97" s="207">
        <f>INDEX($A$87:$H$100,MATCH($L97,$B$87:$B$100,0),MATCH($BC$86,$A$87:$H$87,0))*고양시_Modal_split!K$3 * 0.01</f>
        <v>1.2284629784759866E-4</v>
      </c>
      <c r="BL97" s="207">
        <f>INDEX($A$87:$H$100,MATCH($L97,$B$87:$B$100,0),MATCH($BC$86,$A$87:$H$87,0))*고양시_Modal_split!L$3 * 0.01</f>
        <v>2.4733054633316529E-3</v>
      </c>
      <c r="BM97" s="207">
        <f>INDEX($A$87:$H$100,MATCH($L97,$B$87:$B$100,0),MATCH($BC$86,$A$87:$H$87,0))*고양시_Modal_split!M$3 * 0.01</f>
        <v>1.8836432336631794E-4</v>
      </c>
      <c r="BN97" s="207">
        <f>INDEX($A$87:$H$100,MATCH($L97,$B$87:$B$100,0),MATCH($BC$86,$A$87:$H$87,0))*고양시_Modal_split!N$3 * 0.01</f>
        <v>8.189753189839911E-5</v>
      </c>
      <c r="BO97" s="207">
        <f>INDEX($A$87:$H$100,MATCH($L97,$B$87:$B$100,0),MATCH($BC$86,$A$87:$H$87,0))*고양시_Modal_split!O$3 * 0.01</f>
        <v>1.4741555741711837E-4</v>
      </c>
      <c r="BP97" s="207">
        <f>INDEX($A$87:$H$100,MATCH($L97,$B$87:$B$100,0),MATCH($BC$86,$A$87:$H$87,0))*고양시_Modal_split!P$3 * 0.01</f>
        <v>8.1897531898399101E-2</v>
      </c>
      <c r="BQ97" s="207">
        <f>INDEX($A$87:$H$100,MATCH($L97,$B$87:$B$100,0),MATCH($BQ$86,$A$87:$H$87,0))*고양시_Modal_split!C$3 * 0.01</f>
        <v>8.6629389296972981E-4</v>
      </c>
      <c r="BR97" s="207">
        <f>INDEX($A$87:$H$100,MATCH($L97,$B$87:$B$100,0),MATCH($BQ$86,$A$87:$H$87,0))*고양시_Modal_split!D$3 * 0.01</f>
        <v>0.14550643495130858</v>
      </c>
      <c r="BS97" s="207">
        <f>INDEX($A$87:$H$100,MATCH($L97,$B$87:$B$100,0),MATCH($BQ$86,$A$87:$H$87,0))*고양시_Modal_split!E$3 * 0.01</f>
        <v>1.760432946784915E-2</v>
      </c>
      <c r="BT97" s="207">
        <f>INDEX($A$87:$H$100,MATCH($L97,$B$87:$B$100,0),MATCH($BQ$86,$A$87:$H$87,0))*고양시_Modal_split!F$3 * 0.01</f>
        <v>2.8371124994758655E-2</v>
      </c>
      <c r="BU97" s="207">
        <f>INDEX($A$87:$H$100,MATCH($L97,$B$87:$B$100,0),MATCH($BQ$86,$A$87:$H$87,0))*고양시_Modal_split!G$3 * 0.01</f>
        <v>2.8463942197576838E-3</v>
      </c>
      <c r="BV97" s="207">
        <f>INDEX($A$87:$H$100,MATCH($L97,$B$87:$B$100,0),MATCH($BQ$86,$A$87:$H$87,0))*고양시_Modal_split!H$3 * 0.01</f>
        <v>3.0939067606061784E-5</v>
      </c>
      <c r="BW97" s="207">
        <f>INDEX($A$87:$H$100,MATCH($L97,$B$87:$B$100,0),MATCH($BQ$86,$A$87:$H$87,0))*고양시_Modal_split!I$3 * 0.01</f>
        <v>8.6010607944851745E-3</v>
      </c>
      <c r="BX97" s="207">
        <f>INDEX($A$87:$H$100,MATCH($L97,$B$87:$B$100,0),MATCH($BQ$86,$A$87:$H$87,0))*고양시_Modal_split!J$3 * 0.01</f>
        <v>9.4178521792852077E-2</v>
      </c>
      <c r="BY97" s="207">
        <f>INDEX($A$87:$H$100,MATCH($L97,$B$87:$B$100,0),MATCH($BQ$86,$A$87:$H$87,0))*고양시_Modal_split!K$3 * 0.01</f>
        <v>4.6408601409092672E-4</v>
      </c>
      <c r="BZ97" s="207">
        <f>INDEX($A$87:$H$100,MATCH($L97,$B$87:$B$100,0),MATCH($BQ$86,$A$87:$H$87,0))*고양시_Modal_split!L$3 * 0.01</f>
        <v>9.3435984170306581E-3</v>
      </c>
      <c r="CA97" s="207">
        <f>INDEX($A$87:$H$100,MATCH($L97,$B$87:$B$100,0),MATCH($BQ$86,$A$87:$H$87,0))*고양시_Modal_split!M$3 * 0.01</f>
        <v>7.1159855493942094E-4</v>
      </c>
      <c r="CB97" s="207">
        <f>INDEX($A$87:$H$100,MATCH($L97,$B$87:$B$100,0),MATCH($BQ$86,$A$87:$H$87,0))*고양시_Modal_split!N$3 * 0.01</f>
        <v>3.0939067606061785E-4</v>
      </c>
      <c r="CC97" s="207">
        <f>INDEX($A$87:$H$100,MATCH($L97,$B$87:$B$100,0),MATCH($BQ$86,$A$87:$H$87,0))*고양시_Modal_split!O$3 * 0.01</f>
        <v>5.5690321690911207E-4</v>
      </c>
      <c r="CD97" s="207">
        <f>INDEX($A$87:$H$100,MATCH($L97,$B$87:$B$100,0),MATCH($BQ$86,$A$87:$H$87,0))*고양시_Modal_split!P$3 * 0.01</f>
        <v>0.30939067606061782</v>
      </c>
      <c r="CE97" s="304">
        <f t="shared" si="69"/>
        <v>3.0420674428596421</v>
      </c>
      <c r="CF97" s="304">
        <f t="shared" si="51"/>
        <v>510.95868513460346</v>
      </c>
      <c r="CG97" s="304">
        <f t="shared" si="52"/>
        <v>61.819156249540583</v>
      </c>
      <c r="CH97" s="304">
        <f t="shared" si="53"/>
        <v>99.627708753653295</v>
      </c>
      <c r="CI97" s="304">
        <f t="shared" si="54"/>
        <v>9.9953644551102521</v>
      </c>
      <c r="CJ97" s="304">
        <f t="shared" si="55"/>
        <v>0.10864526581641579</v>
      </c>
      <c r="CK97" s="304">
        <f t="shared" si="56"/>
        <v>30.20338389696359</v>
      </c>
      <c r="CL97" s="304">
        <f t="shared" si="57"/>
        <v>330.71618914516972</v>
      </c>
      <c r="CM97" s="304">
        <f t="shared" si="58"/>
        <v>1.6296789872462369</v>
      </c>
      <c r="CN97" s="304">
        <f t="shared" si="59"/>
        <v>32.810870276557573</v>
      </c>
      <c r="CO97" s="304">
        <f t="shared" si="60"/>
        <v>2.498841113777563</v>
      </c>
      <c r="CP97" s="304">
        <f t="shared" si="61"/>
        <v>1.086452658164158</v>
      </c>
      <c r="CQ97" s="304">
        <f t="shared" si="62"/>
        <v>1.9556147846954839</v>
      </c>
      <c r="CR97" s="304">
        <f t="shared" si="63"/>
        <v>1086.4526581641583</v>
      </c>
      <c r="CS97" s="305">
        <f t="shared" si="70"/>
        <v>0</v>
      </c>
      <c r="CV97" s="267" t="s">
        <v>169</v>
      </c>
      <c r="CW97" s="267" t="s">
        <v>169</v>
      </c>
      <c r="CX97" s="267">
        <f>INDEX($M$86:$Z$100,MATCH($CW97,$L$86:$L$100,0),MATCH(CX$87,$M$87:$Z$87,0))/INDEX(고양시_재차인원!$D$4:$H$35,MATCH("고양시",고양시_재차인원!$B$4:$B$35,0),MATCH($CX$86,고양시_재차인원!$D$4:$H$4,0))</f>
        <v>52.707871946385097</v>
      </c>
      <c r="CY97" s="267">
        <f>INDEX($M$86:$Z$100,MATCH($CW97,$L$86:$L$100,0),MATCH(CY$87,$M$87:$Z$87,0))/INDEX(고양시_재차인원!$K$4:$O$20,MATCH("경기도",고양시_재차인원!$K$4:$K$20,0),MATCH($CY$87,고양시_재차인원!$K$4:$O$4,0))</f>
        <v>4.3599033422349982E-4</v>
      </c>
      <c r="CZ97" s="267">
        <f>INDEX($M$86:$Z$100,MATCH($CW97,$L$86:$L$100,0),MATCH(CZ$87,$M$87:$Z$87,0))/INDEX(고양시_재차인원!$K$4:$O$20,MATCH("경기도",고양시_재차인원!$K$4:$K$20,0),MATCH($CZ$87,고양시_재차인원!$K$4:$O$4,0))</f>
        <v>0.12120531291413293</v>
      </c>
      <c r="DA97" s="267">
        <f>INDEX($M$86:$Z$100,MATCH($CW97,$L$86:$L$100,0),MATCH(DA$87,$M$87:$Z$87,0))/INDEX(고양시_재차인원!$D$4:$H$35,MATCH("고양시",고양시_재차인원!$B$4:$B$35,0),MATCH($CX$86,고양시_재차인원!$D$4:$H$4,0))</f>
        <v>3.384600750118711</v>
      </c>
      <c r="DB97" s="267">
        <f>INDEX($AA$86:$AN$100,MATCH($CW97,$L$86:$L$100,0),MATCH(DB$87,$AA$87:$AN$87,0))/INDEX(고양시_재차인원!$D$4:$H$35,MATCH("고양시",고양시_재차인원!$B$4:$B$35,0),MATCH($DB$86,고양시_재차인원!$D$4:$H$4,0))</f>
        <v>303.001823137028</v>
      </c>
      <c r="DC97" s="267">
        <f>INDEX($AA$86:$AN$100,MATCH($CW97,$L$86:$L$100,0),MATCH(DC$87,$AA$87:$AN$87,0))/INDEX(고양시_재차인원!$K$4:$O$20,MATCH("경기도",고양시_재차인원!$K$4:$K$20,0),MATCH(DC$87,고양시_재차인원!$K$4:$O$4,0))</f>
        <v>3.1553512444201879E-3</v>
      </c>
      <c r="DD97" s="267">
        <f>INDEX($AA$86:$AN$100,MATCH($CW97,$L$86:$L$100,0),MATCH(DD$87,$AA$87:$AN$87,0))/INDEX(고양시_재차인원!$K$4:$O$20,MATCH("경기도",고양시_재차인원!$K$4:$K$20,0),MATCH(DD$87,고양시_재차인원!$K$4:$O$4,0))</f>
        <v>0.87718764594881227</v>
      </c>
      <c r="DE97" s="267">
        <f>INDEX($AA$86:$AN$100,MATCH($CW97,$L$86:$L$100,0),MATCH(DE$87,$AA$87:$AN$87,0))/INDEX(고양시_재차인원!$D$4:$H$35,MATCH("고양시",고양시_재차인원!$B$4:$B$35,0),MATCH($DB$86,고양시_재차인원!$D$4:$H$4,0))</f>
        <v>19.457059448731119</v>
      </c>
      <c r="DF97" s="267">
        <f>INDEX($AO$86:$BB$100,MATCH($CW97,$L$86:$L$100,0),MATCH(DF$87,$AO$87:$BB$87,0))/INDEX(고양시_재차인원!$D$4:$H$35,MATCH("고양시",고양시_재차인원!$B$4:$B$35,0),MATCH($DF$86,고양시_재차인원!$D$4:$H$4,0))</f>
        <v>18.853288528645791</v>
      </c>
      <c r="DG97" s="267">
        <f>INDEX($AO$86:$BB$100,MATCH($CW97,$L$86:$L$100,0),MATCH(DG$87,$AO$87:$BB$87,0))/INDEX(고양시_재차인원!$K$4:$O$20,MATCH("경기도",고양시_재차인원!$K$4:$K$20,0),MATCH(DG$87,고양시_재차인원!$K$4:$O$4,0))</f>
        <v>1.8101469074220607E-4</v>
      </c>
      <c r="DH97" s="267">
        <f>INDEX($AO$86:$BB$100,MATCH($CW97,$L$86:$L$100,0),MATCH(DH$87,$AO$87:$BB$87,0))/INDEX(고양시_재차인원!$K$4:$O$20,MATCH("경기도",고양시_재차인원!$K$4:$K$20,0),MATCH(DH$87,고양시_재차인원!$K$4:$O$4,0))</f>
        <v>5.0322084026333272E-2</v>
      </c>
      <c r="DI97" s="267">
        <f>INDEX($AO$86:$BB$100,MATCH($CW97,$L$86:$L$100,0),MATCH(DI$87,$AO$87:$BB$87,0))/INDEX(고양시_재차인원!$D$4:$H$35,MATCH("고양시",고양시_재차인원!$B$4:$B$35,0),MATCH($DF$86,고양시_재차인원!$D$4:$H$4,0))</f>
        <v>1.2106513152564382</v>
      </c>
      <c r="DJ97" s="267">
        <f>INDEX($BC$86:$BP$100,MATCH($CW97,$L$86:$L$100,0),MATCH(DJ$87,$BC$87:$BP$87,0))/INDEX(고양시_재차인원!$D$4:$H$35,MATCH("고양시",고양시_재차인원!$B$4:$B$35,0),MATCH($DJ$86,고양시_재차인원!$D$4:$H$4,0))</f>
        <v>2.8320889155747864E-2</v>
      </c>
      <c r="DK97" s="267">
        <f>INDEX($BC$86:$BP$100,MATCH($CW97,$L$86:$L$100,0),MATCH(DK$87,$BC$87:$BP$87,0))/INDEX(고양시_재차인원!$K$4:$O$20,MATCH("경기도",고양시_재차인원!$K$4:$K$20,0),MATCH(DK$87,고양시_재차인원!$K$4:$O$4,0))</f>
        <v>2.8446520284265058E-7</v>
      </c>
      <c r="DL97" s="267">
        <f>INDEX($BC$86:$BP$100,MATCH($CW97,$L$86:$L$100,0),MATCH(DL$87,$BC$87:$BP$87,0))/INDEX(고양시_재차인원!$K$4:$O$20,MATCH("경기도",고양시_재차인원!$K$4:$K$20,0),MATCH(DL$87,고양시_재차인원!$K$4:$O$4,0))</f>
        <v>7.908132639025686E-5</v>
      </c>
      <c r="DM97" s="267">
        <f>INDEX($BC$86:$BP$100,MATCH($CW97,$L$86:$L$100,0),MATCH(DM$87,$BC$87:$BP$87,0))/INDEX(고양시_재차인원!$D$4:$H$35,MATCH("고양시",고양시_재차인원!$B$4:$B$35,0),MATCH($DJ$86,고양시_재차인원!$D$4:$H$4,0))</f>
        <v>1.8186069583320977E-3</v>
      </c>
      <c r="DN97" s="267">
        <f>INDEX($BQ$86:$CD$100,MATCH($CW97,$L$86:$L$100,0),MATCH(DN$87,$BQ$87:$CD$87,0))/INDEX(고양시_재차인원!$D$4:$H$35,MATCH("고양시",고양시_재차인원!$B$4:$B$35,0),MATCH($DN$86,고양시_재차인원!$D$4:$H$4,0))</f>
        <v>0.11548129758040364</v>
      </c>
      <c r="DO97" s="267">
        <f>INDEX($BQ$86:$CD$100,MATCH($CW97,$L$86:$L$100,0),MATCH(DO$87,$BQ$87:$CD$87,0))/INDEX(고양시_재차인원!$K$4:$O$20,MATCH("경기도",고양시_재차인원!$K$4:$K$20,0),MATCH(DO$87,고양시_재차인원!$K$4:$O$4,0))</f>
        <v>1.0746463218500099E-6</v>
      </c>
      <c r="DP97" s="267">
        <f>INDEX($BQ$86:$CD$100,MATCH($CW97,$L$86:$L$100,0),MATCH(DP$87,$BQ$87:$CD$87,0))/INDEX(고양시_재차인원!$K$4:$O$20,MATCH("경기도",고양시_재차인원!$K$4:$K$20,0),MATCH(DP$87,고양시_재차인원!$K$4:$O$4,0))</f>
        <v>2.9875167747430272E-4</v>
      </c>
      <c r="DQ97" s="267">
        <f>INDEX($BQ$86:$CD$100,MATCH($CW97,$L$86:$L$100,0),MATCH(DQ$87,$BQ$87:$CD$87,0))/INDEX(고양시_재차인원!$D$4:$H$35,MATCH("고양시",고양시_재차인원!$B$4:$B$35,0),MATCH($DN$86,고양시_재차인원!$D$4:$H$4,0))</f>
        <v>7.4155542992306806E-3</v>
      </c>
      <c r="DR97" s="270">
        <f t="shared" si="71"/>
        <v>374.70678579879501</v>
      </c>
      <c r="DS97" s="270">
        <f t="shared" si="64"/>
        <v>3.7737153809105865E-3</v>
      </c>
      <c r="DT97" s="270">
        <f t="shared" si="65"/>
        <v>1.049092875893143</v>
      </c>
      <c r="DU97" s="270">
        <f t="shared" si="66"/>
        <v>24.061545675363831</v>
      </c>
      <c r="DW97" s="278" t="s">
        <v>169</v>
      </c>
      <c r="DX97" s="278" t="s">
        <v>169</v>
      </c>
      <c r="DY97" s="281">
        <f t="shared" si="72"/>
        <v>398.76833147415886</v>
      </c>
      <c r="DZ97" s="281">
        <f t="shared" si="73"/>
        <v>1.0528665912740536</v>
      </c>
      <c r="EB97" s="278" t="s">
        <v>170</v>
      </c>
      <c r="EC97" s="278" t="s">
        <v>170</v>
      </c>
      <c r="ED97" s="281">
        <f t="shared" si="81"/>
        <v>329.80456770294182</v>
      </c>
      <c r="EE97" s="281">
        <f t="shared" si="80"/>
        <v>0.87078181384248454</v>
      </c>
      <c r="EK97" s="420" t="s">
        <v>47</v>
      </c>
      <c r="EL97" s="420" t="s">
        <v>47</v>
      </c>
      <c r="EM97" s="420" t="s">
        <v>570</v>
      </c>
      <c r="EN97" s="420">
        <v>4861.8494000000001</v>
      </c>
      <c r="EO97" s="420">
        <v>0.50932407249705824</v>
      </c>
      <c r="EP97" s="421">
        <v>849010</v>
      </c>
      <c r="EQ97" s="422">
        <f t="shared" si="75"/>
        <v>122.9847994038179</v>
      </c>
      <c r="ER97" s="422">
        <f t="shared" si="76"/>
        <v>0.32471632350577478</v>
      </c>
      <c r="ES97">
        <v>0</v>
      </c>
      <c r="EU97" s="306" t="s">
        <v>47</v>
      </c>
      <c r="EV97" s="306" t="s">
        <v>47</v>
      </c>
      <c r="EW97" s="306" t="s">
        <v>570</v>
      </c>
      <c r="EX97" s="306">
        <v>4861.8494000000001</v>
      </c>
      <c r="EY97" s="306">
        <v>0.50932407249705824</v>
      </c>
      <c r="EZ97" s="307">
        <v>849010</v>
      </c>
      <c r="FA97" s="308">
        <f t="shared" si="77"/>
        <v>122.9847994038179</v>
      </c>
      <c r="FB97" s="308">
        <f t="shared" si="68"/>
        <v>0.32471632350577478</v>
      </c>
      <c r="FD97" s="101"/>
      <c r="FE97" s="101"/>
      <c r="FF97" s="101"/>
      <c r="FG97" s="101"/>
      <c r="FH97" s="101"/>
      <c r="FI97" s="374"/>
      <c r="FJ97" s="404"/>
      <c r="FK97" s="404"/>
    </row>
    <row r="98" spans="1:167" ht="25">
      <c r="A98" s="205" t="s">
        <v>170</v>
      </c>
      <c r="B98" s="205" t="s">
        <v>170</v>
      </c>
      <c r="C98" s="201">
        <f>$K39*KTDB_TripDistribution_2040!T$12</f>
        <v>103.81366682893265</v>
      </c>
      <c r="D98" s="201">
        <f>$K39*KTDB_TripDistribution_2040!U$12</f>
        <v>751.32074521765753</v>
      </c>
      <c r="E98" s="201">
        <f>$K39*KTDB_TripDistribution_2040!V$12</f>
        <v>43.101411478128099</v>
      </c>
      <c r="F98" s="201">
        <f>$K39*KTDB_TripDistribution_2040!W$12</f>
        <v>6.7734014894910793E-2</v>
      </c>
      <c r="G98" s="201">
        <f>$K39*KTDB_TripDistribution_2040!X$12</f>
        <v>0.25588405626966215</v>
      </c>
      <c r="H98" s="201">
        <f>$K39*KTDB_TripDistribution_2040!Y$12</f>
        <v>898.55944159588307</v>
      </c>
      <c r="I98" s="56"/>
      <c r="J98" s="56"/>
      <c r="K98" s="206" t="s">
        <v>170</v>
      </c>
      <c r="L98" s="206" t="s">
        <v>170</v>
      </c>
      <c r="M98" s="206">
        <f>INDEX($A$87:$H$100,MATCH($L98,$B$87:$B$100,0),MATCH($M$86,$A$87:$H$87,0))*고양시_Modal_split!C$3 * 0.01</f>
        <v>0.29067826712101141</v>
      </c>
      <c r="N98" s="206">
        <f>INDEX($A$87:$H$100,MATCH($L98,$B$87:$B$100,0),MATCH($M$86,$A$87:$H$87,0))*고양시_Modal_split!D$3 * 0.01</f>
        <v>48.823567509647027</v>
      </c>
      <c r="O98" s="206">
        <f>INDEX($A$87:$H$100,MATCH($L98,$B$87:$B$100,0),MATCH($M$86,$A$87:$H$87,0))*고양시_Modal_split!E$3 * 0.01</f>
        <v>5.9069976425662674</v>
      </c>
      <c r="P98" s="206">
        <f>INDEX($A$87:$H$100,MATCH($L98,$B$87:$B$100,0),MATCH($M$86,$A$87:$H$87,0))*고양시_Modal_split!F$3 * 0.01</f>
        <v>9.5197132482131241</v>
      </c>
      <c r="Q98" s="206">
        <f>INDEX($A$87:$H$100,MATCH($L98,$B$87:$B$100,0),MATCH($M$86,$A$87:$H$87,0))*고양시_Modal_split!G$3 * 0.01</f>
        <v>0.95508573482618031</v>
      </c>
      <c r="R98" s="206">
        <f>INDEX($A$87:$H$100,MATCH($L98,$B$87:$B$100,0),MATCH($M$86,$A$87:$H$87,0))*고양시_Modal_split!H$3 * 0.01</f>
        <v>1.0381366682893266E-2</v>
      </c>
      <c r="S98" s="206">
        <f>INDEX($A$87:$H$100,MATCH($L98,$B$87:$B$100,0),MATCH($M$86,$A$87:$H$87,0))*고양시_Modal_split!I$3 * 0.01</f>
        <v>2.8860199378443276</v>
      </c>
      <c r="T98" s="206">
        <f>INDEX($A$87:$H$100,MATCH($L98,$B$87:$B$100,0),MATCH($M$86,$A$87:$H$87,0))*고양시_Modal_split!J$3 * 0.01</f>
        <v>31.600880182727103</v>
      </c>
      <c r="U98" s="206">
        <f>INDEX($A$87:$H$100,MATCH($L98,$B$87:$B$100,0),MATCH($M$86,$A$87:$H$87,0))*고양시_Modal_split!K$3 * 0.01</f>
        <v>0.15572050024339898</v>
      </c>
      <c r="V98" s="206">
        <f>INDEX($A$87:$H$100,MATCH($L98,$B$87:$B$100,0),MATCH($M$86,$A$87:$H$87,0))*고양시_Modal_split!L$3 * 0.01</f>
        <v>3.1351727382337664</v>
      </c>
      <c r="W98" s="206">
        <f>INDEX($A$87:$H$100,MATCH($L98,$B$87:$B$100,0),MATCH($M$86,$A$87:$H$87,0))*고양시_Modal_split!M$3 * 0.01</f>
        <v>0.23877143370654508</v>
      </c>
      <c r="X98" s="206">
        <f>INDEX($A$87:$H$100,MATCH($L98,$B$87:$B$100,0),MATCH($M$86,$A$87:$H$87,0))*고양시_Modal_split!N$3 * 0.01</f>
        <v>0.10381366682893266</v>
      </c>
      <c r="Y98" s="206">
        <f>INDEX($A$87:$H$100,MATCH($L98,$B$87:$B$100,0),MATCH($M$86,$A$87:$H$87,0))*고양시_Modal_split!O$3 * 0.01</f>
        <v>0.18686460029207877</v>
      </c>
      <c r="Z98" s="209">
        <f>INDEX($A$87:$H$100,MATCH($L98,$B$87:$B$100,0),MATCH($M$86,$A$87:$H$87,0))*고양시_Modal_split!P$3 * 0.01</f>
        <v>103.81366682893265</v>
      </c>
      <c r="AA98" s="207">
        <f>INDEX($A$87:$H$100,MATCH($L98,$B$87:$B$100,0),MATCH($AA$86,$A$87:$H$87,0))*고양시_Modal_split!C$3 * 0.01</f>
        <v>2.1036980866094406</v>
      </c>
      <c r="AB98" s="207">
        <f>INDEX($A$87:$H$100,MATCH($L98,$B$87:$B$100,0),MATCH($AA$86,$A$87:$H$87,0))*고양시_Modal_split!D$3 * 0.01</f>
        <v>353.34614647586437</v>
      </c>
      <c r="AC98" s="207">
        <f>INDEX($A$87:$H$100,MATCH($L98,$B$87:$B$100,0),MATCH($AA$86,$A$87:$H$87,0))*고양시_Modal_split!E$3 * 0.01</f>
        <v>42.750150402884714</v>
      </c>
      <c r="AD98" s="207">
        <f>INDEX($A$87:$H$100,MATCH($L98,$B$87:$B$100,0),MATCH($AA$86,$A$87:$H$87,0))*고양시_Modal_split!F$3 * 0.01</f>
        <v>68.896112336459197</v>
      </c>
      <c r="AE98" s="207">
        <f>INDEX($A$87:$H$100,MATCH($L98,$B$87:$B$100,0),MATCH($AA$86,$A$87:$H$87,0))*고양시_Modal_split!G$3 * 0.01</f>
        <v>6.9121508560024481</v>
      </c>
      <c r="AF98" s="207">
        <f>INDEX($A$87:$H$100,MATCH($L98,$B$87:$B$100,0),MATCH($AA$86,$A$87:$H$87,0))*고양시_Modal_split!H$3 * 0.01</f>
        <v>7.5132074521765763E-2</v>
      </c>
      <c r="AG98" s="207">
        <f>INDEX($A$87:$H$100,MATCH($L98,$B$87:$B$100,0),MATCH($AA$86,$A$87:$H$87,0))*고양시_Modal_split!I$3 * 0.01</f>
        <v>20.886716717050877</v>
      </c>
      <c r="AH98" s="207">
        <f>INDEX($A$87:$H$100,MATCH($L98,$B$87:$B$100,0),MATCH($AA$86,$A$87:$H$87,0))*고양시_Modal_split!J$3 * 0.01</f>
        <v>228.70203484425497</v>
      </c>
      <c r="AI98" s="207">
        <f>INDEX($A$87:$H$100,MATCH($L98,$B$87:$B$100,0),MATCH($AA$86,$A$87:$H$87,0))*고양시_Modal_split!K$3 * 0.01</f>
        <v>1.1269811178264864</v>
      </c>
      <c r="AJ98" s="207">
        <f>INDEX($A$87:$H$100,MATCH($L98,$B$87:$B$100,0),MATCH($AA$86,$A$87:$H$87,0))*고양시_Modal_split!L$3 * 0.01</f>
        <v>22.689886505573259</v>
      </c>
      <c r="AK98" s="207">
        <f>INDEX($A$87:$H$100,MATCH($L98,$B$87:$B$100,0),MATCH($AA$86,$A$87:$H$87,0))*고양시_Modal_split!M$3 * 0.01</f>
        <v>1.728037714000612</v>
      </c>
      <c r="AL98" s="207">
        <f>INDEX($A$87:$H$100,MATCH($L98,$B$87:$B$100,0),MATCH($AA$86,$A$87:$H$87,0))*고양시_Modal_split!N$3 * 0.01</f>
        <v>0.75132074521765757</v>
      </c>
      <c r="AM98" s="207">
        <f>INDEX($A$87:$H$100,MATCH($L98,$B$87:$B$100,0),MATCH($AA$86,$A$87:$H$87,0))*고양시_Modal_split!O$3 * 0.01</f>
        <v>1.3523773413917834</v>
      </c>
      <c r="AN98" s="207">
        <f>INDEX($A$87:$H$100,MATCH($L98,$B$87:$B$100,0),MATCH($AA$86,$A$87:$H$87,0))*고양시_Modal_split!P$3 * 0.01</f>
        <v>751.32074521765753</v>
      </c>
      <c r="AO98" s="303">
        <f>INDEX($A$87:$H$100,MATCH($L98,$B$87:$B$100,0),MATCH($AO$86,$A$87:$H$87,0))*고양시_Modal_split!C$3 * 0.01</f>
        <v>0.12068395213875867</v>
      </c>
      <c r="AP98" s="303">
        <f>INDEX($A$87:$H$100,MATCH($L98,$B$87:$B$100,0),MATCH($AO$86,$A$87:$H$87,0))*고양시_Modal_split!D$3 * 0.01</f>
        <v>20.270593818163647</v>
      </c>
      <c r="AQ98" s="303">
        <f>INDEX($A$87:$H$100,MATCH($L98,$B$87:$B$100,0),MATCH($AO$86,$A$87:$H$87,0))*고양시_Modal_split!E$3 * 0.01</f>
        <v>2.4524703131054886</v>
      </c>
      <c r="AR98" s="303">
        <f>INDEX($A$87:$H$100,MATCH($L98,$B$87:$B$100,0),MATCH($AO$86,$A$87:$H$87,0))*고양시_Modal_split!F$3 * 0.01</f>
        <v>3.9523994325443468</v>
      </c>
      <c r="AS98" s="303">
        <f>INDEX($A$87:$H$100,MATCH($L98,$B$87:$B$100,0),MATCH($AO$86,$A$87:$H$87,0))*고양시_Modal_split!G$3 * 0.01</f>
        <v>0.39653298559877848</v>
      </c>
      <c r="AT98" s="303">
        <f>INDEX($A$87:$H$100,MATCH($L98,$B$87:$B$100,0),MATCH($AO$86,$A$87:$H$87,0))*고양시_Modal_split!H$3 * 0.01</f>
        <v>4.3101411478128097E-3</v>
      </c>
      <c r="AU98" s="303">
        <f>INDEX($A$87:$H$100,MATCH($L98,$B$87:$B$100,0),MATCH($AO$86,$A$87:$H$87,0))*고양시_Modal_split!I$3 * 0.01</f>
        <v>1.198219239091961</v>
      </c>
      <c r="AV98" s="303">
        <f>INDEX($A$87:$H$100,MATCH($L98,$B$87:$B$100,0),MATCH($AO$86,$A$87:$H$87,0))*고양시_Modal_split!J$3 * 0.01</f>
        <v>13.120069653942194</v>
      </c>
      <c r="AW98" s="303">
        <f>INDEX($A$87:$H$100,MATCH($L98,$B$87:$B$100,0),MATCH($AO$86,$A$87:$H$87,0))*고양시_Modal_split!K$3 * 0.01</f>
        <v>6.4652117217192148E-2</v>
      </c>
      <c r="AX98" s="303">
        <f>INDEX($A$87:$H$100,MATCH($L98,$B$87:$B$100,0),MATCH($AO$86,$A$87:$H$87,0))*고양시_Modal_split!L$3 * 0.01</f>
        <v>1.3016626266394686</v>
      </c>
      <c r="AY98" s="303">
        <f>INDEX($A$87:$H$100,MATCH($L98,$B$87:$B$100,0),MATCH($AO$86,$A$87:$H$87,0))*고양시_Modal_split!M$3 * 0.01</f>
        <v>9.9133246399694619E-2</v>
      </c>
      <c r="AZ98" s="303">
        <f>INDEX($A$87:$H$100,MATCH($L98,$B$87:$B$100,0),MATCH($AO$86,$A$87:$H$87,0))*고양시_Modal_split!N$3 * 0.01</f>
        <v>4.3101411478128099E-2</v>
      </c>
      <c r="BA98" s="207">
        <f>INDEX($A$87:$H$100,MATCH($L98,$B$87:$B$100,0),MATCH($AO$86,$A$87:$H$87,0))*고양시_Modal_split!O$3 * 0.01</f>
        <v>7.758254066063057E-2</v>
      </c>
      <c r="BB98" s="207">
        <f>INDEX($A$87:$H$100,MATCH($L98,$B$87:$B$100,0),MATCH($AO$86,$A$87:$H$87,0))*고양시_Modal_split!P$3 * 0.01</f>
        <v>43.101411478128107</v>
      </c>
      <c r="BC98" s="207">
        <f>INDEX($A$87:$H$100,MATCH($L98,$B$87:$B$100,0),MATCH($BC$86,$A$87:$H$87,0))*고양시_Modal_split!C$3 * 0.01</f>
        <v>1.8965524170575019E-4</v>
      </c>
      <c r="BD98" s="207">
        <f>INDEX($A$87:$H$100,MATCH($L98,$B$87:$B$100,0),MATCH($BC$86,$A$87:$H$87,0))*고양시_Modal_split!D$3 * 0.01</f>
        <v>3.1855307205076552E-2</v>
      </c>
      <c r="BE98" s="207">
        <f>INDEX($A$87:$H$100,MATCH($L98,$B$87:$B$100,0),MATCH($BC$86,$A$87:$H$87,0))*고양시_Modal_split!E$3 * 0.01</f>
        <v>3.8540654475204242E-3</v>
      </c>
      <c r="BF98" s="207">
        <f>INDEX($A$87:$H$100,MATCH($L98,$B$87:$B$100,0),MATCH($BC$86,$A$87:$H$87,0))*고양시_Modal_split!F$3 * 0.01</f>
        <v>6.2112091658633193E-3</v>
      </c>
      <c r="BG98" s="207">
        <f>INDEX($A$87:$H$100,MATCH($L98,$B$87:$B$100,0),MATCH($BC$86,$A$87:$H$87,0))*고양시_Modal_split!G$3 * 0.01</f>
        <v>6.2315293703317932E-4</v>
      </c>
      <c r="BH98" s="207">
        <f>INDEX($A$87:$H$100,MATCH($L98,$B$87:$B$100,0),MATCH($BC$86,$A$87:$H$87,0))*고양시_Modal_split!H$3 * 0.01</f>
        <v>6.7734014894910792E-6</v>
      </c>
      <c r="BI98" s="207">
        <f>INDEX($A$87:$H$100,MATCH($L98,$B$87:$B$100,0),MATCH($BC$86,$A$87:$H$87,0))*고양시_Modal_split!I$3 * 0.01</f>
        <v>1.8830056140785199E-3</v>
      </c>
      <c r="BJ98" s="207">
        <f>INDEX($A$87:$H$100,MATCH($L98,$B$87:$B$100,0),MATCH($BC$86,$A$87:$H$87,0))*고양시_Modal_split!J$3 * 0.01</f>
        <v>2.0618234134010843E-2</v>
      </c>
      <c r="BK98" s="207">
        <f>INDEX($A$87:$H$100,MATCH($L98,$B$87:$B$100,0),MATCH($BC$86,$A$87:$H$87,0))*고양시_Modal_split!K$3 * 0.01</f>
        <v>1.0160102234236619E-4</v>
      </c>
      <c r="BL98" s="207">
        <f>INDEX($A$87:$H$100,MATCH($L98,$B$87:$B$100,0),MATCH($BC$86,$A$87:$H$87,0))*고양시_Modal_split!L$3 * 0.01</f>
        <v>2.0455672498263062E-3</v>
      </c>
      <c r="BM98" s="207">
        <f>INDEX($A$87:$H$100,MATCH($L98,$B$87:$B$100,0),MATCH($BC$86,$A$87:$H$87,0))*고양시_Modal_split!M$3 * 0.01</f>
        <v>1.5578823425829483E-4</v>
      </c>
      <c r="BN98" s="207">
        <f>INDEX($A$87:$H$100,MATCH($L98,$B$87:$B$100,0),MATCH($BC$86,$A$87:$H$87,0))*고양시_Modal_split!N$3 * 0.01</f>
        <v>6.7734014894910797E-5</v>
      </c>
      <c r="BO98" s="207">
        <f>INDEX($A$87:$H$100,MATCH($L98,$B$87:$B$100,0),MATCH($BC$86,$A$87:$H$87,0))*고양시_Modal_split!O$3 * 0.01</f>
        <v>1.2192122681083942E-4</v>
      </c>
      <c r="BP98" s="207">
        <f>INDEX($A$87:$H$100,MATCH($L98,$B$87:$B$100,0),MATCH($BC$86,$A$87:$H$87,0))*고양시_Modal_split!P$3 * 0.01</f>
        <v>6.7734014894910793E-2</v>
      </c>
      <c r="BQ98" s="207">
        <f>INDEX($A$87:$H$100,MATCH($L98,$B$87:$B$100,0),MATCH($BQ$86,$A$87:$H$87,0))*고양시_Modal_split!C$3 * 0.01</f>
        <v>7.1647535755505398E-4</v>
      </c>
      <c r="BR98" s="207">
        <f>INDEX($A$87:$H$100,MATCH($L98,$B$87:$B$100,0),MATCH($BQ$86,$A$87:$H$87,0))*고양시_Modal_split!D$3 * 0.01</f>
        <v>0.12034227166362212</v>
      </c>
      <c r="BS98" s="207">
        <f>INDEX($A$87:$H$100,MATCH($L98,$B$87:$B$100,0),MATCH($BQ$86,$A$87:$H$87,0))*고양시_Modal_split!E$3 * 0.01</f>
        <v>1.4559802801743776E-2</v>
      </c>
      <c r="BT98" s="207">
        <f>INDEX($A$87:$H$100,MATCH($L98,$B$87:$B$100,0),MATCH($BQ$86,$A$87:$H$87,0))*고양시_Modal_split!F$3 * 0.01</f>
        <v>2.3464567959928018E-2</v>
      </c>
      <c r="BU98" s="207">
        <f>INDEX($A$87:$H$100,MATCH($L98,$B$87:$B$100,0),MATCH($BQ$86,$A$87:$H$87,0))*고양시_Modal_split!G$3 * 0.01</f>
        <v>2.3541333176808916E-3</v>
      </c>
      <c r="BV98" s="207">
        <f>INDEX($A$87:$H$100,MATCH($L98,$B$87:$B$100,0),MATCH($BQ$86,$A$87:$H$87,0))*고양시_Modal_split!H$3 * 0.01</f>
        <v>2.5588405626966216E-5</v>
      </c>
      <c r="BW98" s="207">
        <f>INDEX($A$87:$H$100,MATCH($L98,$B$87:$B$100,0),MATCH($BQ$86,$A$87:$H$87,0))*고양시_Modal_split!I$3 * 0.01</f>
        <v>7.1135767642966077E-3</v>
      </c>
      <c r="BX98" s="207">
        <f>INDEX($A$87:$H$100,MATCH($L98,$B$87:$B$100,0),MATCH($BQ$86,$A$87:$H$87,0))*고양시_Modal_split!J$3 * 0.01</f>
        <v>7.7891106728485163E-2</v>
      </c>
      <c r="BY98" s="207">
        <f>INDEX($A$87:$H$100,MATCH($L98,$B$87:$B$100,0),MATCH($BQ$86,$A$87:$H$87,0))*고양시_Modal_split!K$3 * 0.01</f>
        <v>3.8382608440449325E-4</v>
      </c>
      <c r="BZ98" s="207">
        <f>INDEX($A$87:$H$100,MATCH($L98,$B$87:$B$100,0),MATCH($BQ$86,$A$87:$H$87,0))*고양시_Modal_split!L$3 * 0.01</f>
        <v>7.7276984993437971E-3</v>
      </c>
      <c r="CA98" s="207">
        <f>INDEX($A$87:$H$100,MATCH($L98,$B$87:$B$100,0),MATCH($BQ$86,$A$87:$H$87,0))*고양시_Modal_split!M$3 * 0.01</f>
        <v>5.885333294202229E-4</v>
      </c>
      <c r="CB98" s="207">
        <f>INDEX($A$87:$H$100,MATCH($L98,$B$87:$B$100,0),MATCH($BQ$86,$A$87:$H$87,0))*고양시_Modal_split!N$3 * 0.01</f>
        <v>2.5588405626966217E-4</v>
      </c>
      <c r="CC98" s="207">
        <f>INDEX($A$87:$H$100,MATCH($L98,$B$87:$B$100,0),MATCH($BQ$86,$A$87:$H$87,0))*고양시_Modal_split!O$3 * 0.01</f>
        <v>4.6059130128539181E-4</v>
      </c>
      <c r="CD98" s="207">
        <f>INDEX($A$87:$H$100,MATCH($L98,$B$87:$B$100,0),MATCH($BQ$86,$A$87:$H$87,0))*고양시_Modal_split!P$3 * 0.01</f>
        <v>0.25588405626966215</v>
      </c>
      <c r="CE98" s="304">
        <f t="shared" si="69"/>
        <v>2.5159664364684713</v>
      </c>
      <c r="CF98" s="304">
        <f t="shared" si="51"/>
        <v>422.59250538254378</v>
      </c>
      <c r="CG98" s="304">
        <f t="shared" si="52"/>
        <v>51.128032226805729</v>
      </c>
      <c r="CH98" s="304">
        <f t="shared" si="53"/>
        <v>82.397900794342476</v>
      </c>
      <c r="CI98" s="304">
        <f t="shared" si="54"/>
        <v>8.2667468626821208</v>
      </c>
      <c r="CJ98" s="304">
        <f t="shared" si="55"/>
        <v>8.9855944159588308E-2</v>
      </c>
      <c r="CK98" s="304">
        <f t="shared" si="56"/>
        <v>24.979952476365543</v>
      </c>
      <c r="CL98" s="304">
        <f t="shared" si="57"/>
        <v>273.52149402178679</v>
      </c>
      <c r="CM98" s="304">
        <f t="shared" si="58"/>
        <v>1.3478391623938244</v>
      </c>
      <c r="CN98" s="304">
        <f t="shared" si="59"/>
        <v>27.136495136195666</v>
      </c>
      <c r="CO98" s="304">
        <f t="shared" si="60"/>
        <v>2.0666867156705302</v>
      </c>
      <c r="CP98" s="304">
        <f t="shared" si="61"/>
        <v>0.89855944159588286</v>
      </c>
      <c r="CQ98" s="304">
        <f t="shared" si="62"/>
        <v>1.6174069948725891</v>
      </c>
      <c r="CR98" s="304">
        <f t="shared" si="63"/>
        <v>898.55944159588284</v>
      </c>
      <c r="CS98" s="305">
        <f t="shared" si="70"/>
        <v>0</v>
      </c>
      <c r="CV98" s="267" t="s">
        <v>170</v>
      </c>
      <c r="CW98" s="267" t="s">
        <v>170</v>
      </c>
      <c r="CX98" s="267">
        <f>INDEX($M$86:$Z$100,MATCH($CW98,$L$86:$L$100,0),MATCH(CX$87,$M$87:$Z$87,0))/INDEX(고양시_재차인원!$D$4:$H$35,MATCH("고양시",고양시_재차인원!$B$4:$B$35,0),MATCH($CX$86,고양시_재차인원!$D$4:$H$4,0))</f>
        <v>43.592470990756269</v>
      </c>
      <c r="CY98" s="267">
        <f>INDEX($M$86:$Z$100,MATCH($CW98,$L$86:$L$100,0),MATCH(CY$87,$M$87:$Z$87,0))/INDEX(고양시_재차인원!$K$4:$O$20,MATCH("경기도",고양시_재차인원!$K$4:$K$20,0),MATCH($CY$87,고양시_재차인원!$K$4:$O$4,0))</f>
        <v>3.6058932556072478E-4</v>
      </c>
      <c r="CZ98" s="267">
        <f>INDEX($M$86:$Z$100,MATCH($CW98,$L$86:$L$100,0),MATCH(CZ$87,$M$87:$Z$87,0))/INDEX(고양시_재차인원!$K$4:$O$20,MATCH("경기도",고양시_재차인원!$K$4:$K$20,0),MATCH($CZ$87,고양시_재차인원!$K$4:$O$4,0))</f>
        <v>0.10024383250588148</v>
      </c>
      <c r="DA98" s="267">
        <f>INDEX($M$86:$Z$100,MATCH($CW98,$L$86:$L$100,0),MATCH(DA$87,$M$87:$Z$87,0))/INDEX(고양시_재차인원!$D$4:$H$35,MATCH("고양시",고양시_재차인원!$B$4:$B$35,0),MATCH($CX$86,고양시_재차인원!$D$4:$H$4,0))</f>
        <v>2.7992613734230054</v>
      </c>
      <c r="DB98" s="267">
        <f>INDEX($AA$86:$AN$100,MATCH($CW98,$L$86:$L$100,0),MATCH(DB$87,$AA$87:$AN$87,0))/INDEX(고양시_재차인원!$D$4:$H$35,MATCH("고양시",고양시_재차인원!$B$4:$B$35,0),MATCH($DB$86,고양시_재차인원!$D$4:$H$4,0))</f>
        <v>250.60010388359177</v>
      </c>
      <c r="DC98" s="267">
        <f>INDEX($AA$86:$AN$100,MATCH($CW98,$L$86:$L$100,0),MATCH(DC$87,$AA$87:$AN$87,0))/INDEX(고양시_재차인원!$K$4:$O$20,MATCH("경기도",고양시_재차인원!$K$4:$K$20,0),MATCH(DC$87,고양시_재차인원!$K$4:$O$4,0))</f>
        <v>2.6096587190609852E-3</v>
      </c>
      <c r="DD98" s="267">
        <f>INDEX($AA$86:$AN$100,MATCH($CW98,$L$86:$L$100,0),MATCH(DD$87,$AA$87:$AN$87,0))/INDEX(고양시_재차인원!$K$4:$O$20,MATCH("경기도",고양시_재차인원!$K$4:$K$20,0),MATCH(DD$87,고양시_재차인원!$K$4:$O$4,0))</f>
        <v>0.7254851238989537</v>
      </c>
      <c r="DE98" s="267">
        <f>INDEX($AA$86:$AN$100,MATCH($CW98,$L$86:$L$100,0),MATCH(DE$87,$AA$87:$AN$87,0))/INDEX(고양시_재차인원!$D$4:$H$35,MATCH("고양시",고양시_재차인원!$B$4:$B$35,0),MATCH($DB$86,고양시_재차인원!$D$4:$H$4,0))</f>
        <v>16.092118089059049</v>
      </c>
      <c r="DF98" s="267">
        <f>INDEX($AO$86:$BB$100,MATCH($CW98,$L$86:$L$100,0),MATCH(DF$87,$AO$87:$BB$87,0))/INDEX(고양시_재차인원!$D$4:$H$35,MATCH("고양시",고양시_재차인원!$B$4:$B$35,0),MATCH($DF$86,고양시_재차인원!$D$4:$H$4,0))</f>
        <v>15.592764475510497</v>
      </c>
      <c r="DG98" s="267">
        <f>INDEX($AO$86:$BB$100,MATCH($CW98,$L$86:$L$100,0),MATCH(DG$87,$AO$87:$BB$87,0))/INDEX(고양시_재차인원!$K$4:$O$20,MATCH("경기도",고양시_재차인원!$K$4:$K$20,0),MATCH(DG$87,고양시_재차인원!$K$4:$O$4,0))</f>
        <v>1.4970966126477282E-4</v>
      </c>
      <c r="DH98" s="267">
        <f>INDEX($AO$86:$BB$100,MATCH($CW98,$L$86:$L$100,0),MATCH(DH$87,$AO$87:$BB$87,0))/INDEX(고양시_재차인원!$K$4:$O$20,MATCH("경기도",고양시_재차인원!$K$4:$K$20,0),MATCH(DH$87,고양시_재차인원!$K$4:$O$4,0))</f>
        <v>4.1619285831606845E-2</v>
      </c>
      <c r="DI98" s="267">
        <f>INDEX($AO$86:$BB$100,MATCH($CW98,$L$86:$L$100,0),MATCH(DI$87,$AO$87:$BB$87,0))/INDEX(고양시_재차인원!$D$4:$H$35,MATCH("고양시",고양시_재차인원!$B$4:$B$35,0),MATCH($DF$86,고양시_재차인원!$D$4:$H$4,0))</f>
        <v>1.0012789435688221</v>
      </c>
      <c r="DJ98" s="267">
        <f>INDEX($BC$86:$BP$100,MATCH($CW98,$L$86:$L$100,0),MATCH(DJ$87,$BC$87:$BP$87,0))/INDEX(고양시_재차인원!$D$4:$H$35,MATCH("고양시",고양시_재차인원!$B$4:$B$35,0),MATCH($DJ$86,고양시_재차인원!$D$4:$H$4,0))</f>
        <v>2.3423020003732756E-2</v>
      </c>
      <c r="DK98" s="267">
        <f>INDEX($BC$86:$BP$100,MATCH($CW98,$L$86:$L$100,0),MATCH(DK$87,$BC$87:$BP$87,0))/INDEX(고양시_재차인원!$K$4:$O$20,MATCH("경기도",고양시_재차인원!$K$4:$K$20,0),MATCH(DK$87,고양시_재차인원!$K$4:$O$4,0))</f>
        <v>2.352692424276165E-7</v>
      </c>
      <c r="DL98" s="267">
        <f>INDEX($BC$86:$BP$100,MATCH($CW98,$L$86:$L$100,0),MATCH(DL$87,$BC$87:$BP$87,0))/INDEX(고양시_재차인원!$K$4:$O$20,MATCH("경기도",고양시_재차인원!$K$4:$K$20,0),MATCH(DL$87,고양시_재차인원!$K$4:$O$4,0))</f>
        <v>6.540484939487739E-5</v>
      </c>
      <c r="DM98" s="267">
        <f>INDEX($BC$86:$BP$100,MATCH($CW98,$L$86:$L$100,0),MATCH(DM$87,$BC$87:$BP$87,0))/INDEX(고양시_재차인원!$D$4:$H$35,MATCH("고양시",고양시_재차인원!$B$4:$B$35,0),MATCH($DJ$86,고양시_재차인원!$D$4:$H$4,0))</f>
        <v>1.5040935660487545E-3</v>
      </c>
      <c r="DN98" s="267">
        <f>INDEX($BQ$86:$CD$100,MATCH($CW98,$L$86:$L$100,0),MATCH(DN$87,$BQ$87:$CD$87,0))/INDEX(고양시_재차인원!$D$4:$H$35,MATCH("고양시",고양시_재차인원!$B$4:$B$35,0),MATCH($DN$86,고양시_재차인원!$D$4:$H$4,0))</f>
        <v>9.5509739415573114E-2</v>
      </c>
      <c r="DO98" s="267">
        <f>INDEX($BQ$86:$CD$100,MATCH($CW98,$L$86:$L$100,0),MATCH(DO$87,$BQ$87:$CD$87,0))/INDEX(고양시_재차인원!$K$4:$O$20,MATCH("경기도",고양시_재차인원!$K$4:$K$20,0),MATCH(DO$87,고양시_재차인원!$K$4:$O$4,0))</f>
        <v>8.8879491583765952E-7</v>
      </c>
      <c r="DP98" s="267">
        <f>INDEX($BQ$86:$CD$100,MATCH($CW98,$L$86:$L$100,0),MATCH(DP$87,$BQ$87:$CD$87,0))/INDEX(고양시_재차인원!$K$4:$O$20,MATCH("경기도",고양시_재차인원!$K$4:$K$20,0),MATCH(DP$87,고양시_재차인원!$K$4:$O$4,0))</f>
        <v>2.4708498660286934E-4</v>
      </c>
      <c r="DQ98" s="267">
        <f>INDEX($BQ$86:$CD$100,MATCH($CW98,$L$86:$L$100,0),MATCH(DQ$87,$BQ$87:$CD$87,0))/INDEX(고양시_재차인원!$D$4:$H$35,MATCH("고양시",고양시_재차인원!$B$4:$B$35,0),MATCH($DN$86,고양시_재차인원!$D$4:$H$4,0))</f>
        <v>6.1330940470982519E-3</v>
      </c>
      <c r="DR98" s="270">
        <f t="shared" si="71"/>
        <v>309.90427210927783</v>
      </c>
      <c r="DS98" s="270">
        <f t="shared" si="64"/>
        <v>3.1210817700447484E-3</v>
      </c>
      <c r="DT98" s="270">
        <f t="shared" si="65"/>
        <v>0.86766073207243977</v>
      </c>
      <c r="DU98" s="270">
        <f t="shared" si="66"/>
        <v>19.900295593664019</v>
      </c>
      <c r="DW98" s="278" t="s">
        <v>170</v>
      </c>
      <c r="DX98" s="278" t="s">
        <v>170</v>
      </c>
      <c r="DY98" s="281">
        <f t="shared" si="72"/>
        <v>329.80456770294182</v>
      </c>
      <c r="DZ98" s="281">
        <f t="shared" si="73"/>
        <v>0.87078181384248454</v>
      </c>
      <c r="EB98" s="278" t="s">
        <v>171</v>
      </c>
      <c r="EC98" s="278" t="s">
        <v>171</v>
      </c>
      <c r="ED98" s="281">
        <f t="shared" si="81"/>
        <v>13.245893985232417</v>
      </c>
      <c r="EE98" s="281">
        <f t="shared" si="80"/>
        <v>3.4973086245473059E-2</v>
      </c>
      <c r="EK98" s="420" t="s">
        <v>47</v>
      </c>
      <c r="EL98" s="420" t="s">
        <v>47</v>
      </c>
      <c r="EM98" s="420" t="s">
        <v>571</v>
      </c>
      <c r="EN98" s="420">
        <v>2430.8498</v>
      </c>
      <c r="EO98" s="420">
        <v>0.25465418977491561</v>
      </c>
      <c r="EP98" s="421">
        <v>849011</v>
      </c>
      <c r="EQ98" s="422">
        <f t="shared" si="75"/>
        <v>61.490505039874506</v>
      </c>
      <c r="ER98" s="422">
        <f t="shared" si="76"/>
        <v>0.16235315928353269</v>
      </c>
      <c r="ES98">
        <v>0</v>
      </c>
      <c r="EU98" s="306" t="s">
        <v>47</v>
      </c>
      <c r="EV98" s="306" t="s">
        <v>47</v>
      </c>
      <c r="EW98" s="306" t="s">
        <v>571</v>
      </c>
      <c r="EX98" s="306">
        <v>2430.8498</v>
      </c>
      <c r="EY98" s="306">
        <v>0.25465418977491561</v>
      </c>
      <c r="EZ98" s="307">
        <v>849011</v>
      </c>
      <c r="FA98" s="308">
        <f t="shared" si="77"/>
        <v>61.490505039874506</v>
      </c>
      <c r="FB98" s="308">
        <f t="shared" si="68"/>
        <v>0.16235315928353269</v>
      </c>
      <c r="FD98" s="101"/>
      <c r="FE98" s="101"/>
      <c r="FF98" s="101"/>
      <c r="FG98" s="101"/>
      <c r="FH98" s="101"/>
      <c r="FI98" s="374"/>
      <c r="FJ98" s="404"/>
      <c r="FK98" s="404"/>
    </row>
    <row r="99" spans="1:167">
      <c r="A99" s="205" t="s">
        <v>171</v>
      </c>
      <c r="B99" s="205" t="s">
        <v>171</v>
      </c>
      <c r="C99" s="201">
        <f>$K40*KTDB_TripDistribution_2040!T$12</f>
        <v>4.1694535482384572</v>
      </c>
      <c r="D99" s="201">
        <f>$K40*KTDB_TripDistribution_2040!U$12</f>
        <v>30.175188322505875</v>
      </c>
      <c r="E99" s="201">
        <f>$K40*KTDB_TripDistribution_2040!V$12</f>
        <v>1.7310758641990509</v>
      </c>
      <c r="F99" s="201">
        <f>$K40*KTDB_TripDistribution_2040!W$12</f>
        <v>2.7203916147706497E-3</v>
      </c>
      <c r="G99" s="201">
        <f>$K40*KTDB_TripDistribution_2040!X$12</f>
        <v>1.0277034989133531E-2</v>
      </c>
      <c r="H99" s="201">
        <f>$K40*KTDB_TripDistribution_2040!Y$12</f>
        <v>36.088715161547292</v>
      </c>
      <c r="I99" s="56"/>
      <c r="J99" s="56"/>
      <c r="K99" s="206" t="s">
        <v>171</v>
      </c>
      <c r="L99" s="206" t="s">
        <v>171</v>
      </c>
      <c r="M99" s="206">
        <f>INDEX($A$87:$H$100,MATCH($L99,$B$87:$B$100,0),MATCH($M$86,$A$87:$H$87,0))*고양시_Modal_split!C$3 * 0.01</f>
        <v>1.1674469935067679E-2</v>
      </c>
      <c r="N99" s="206">
        <f>INDEX($A$87:$H$100,MATCH($L99,$B$87:$B$100,0),MATCH($M$86,$A$87:$H$87,0))*고양시_Modal_split!D$3 * 0.01</f>
        <v>1.9608940037365465</v>
      </c>
      <c r="O99" s="206">
        <f>INDEX($A$87:$H$100,MATCH($L99,$B$87:$B$100,0),MATCH($M$86,$A$87:$H$87,0))*고양시_Modal_split!E$3 * 0.01</f>
        <v>0.23724190689476821</v>
      </c>
      <c r="P99" s="206">
        <f>INDEX($A$87:$H$100,MATCH($L99,$B$87:$B$100,0),MATCH($M$86,$A$87:$H$87,0))*고양시_Modal_split!F$3 * 0.01</f>
        <v>0.38233889037346652</v>
      </c>
      <c r="Q99" s="206">
        <f>INDEX($A$87:$H$100,MATCH($L99,$B$87:$B$100,0),MATCH($M$86,$A$87:$H$87,0))*고양시_Modal_split!G$3 * 0.01</f>
        <v>3.8358972643793801E-2</v>
      </c>
      <c r="R99" s="206">
        <f>INDEX($A$87:$H$100,MATCH($L99,$B$87:$B$100,0),MATCH($M$86,$A$87:$H$87,0))*고양시_Modal_split!H$3 * 0.01</f>
        <v>4.1694535482384576E-4</v>
      </c>
      <c r="S99" s="206">
        <f>INDEX($A$87:$H$100,MATCH($L99,$B$87:$B$100,0),MATCH($M$86,$A$87:$H$87,0))*고양시_Modal_split!I$3 * 0.01</f>
        <v>0.11591080864102909</v>
      </c>
      <c r="T99" s="206">
        <f>INDEX($A$87:$H$100,MATCH($L99,$B$87:$B$100,0),MATCH($M$86,$A$87:$H$87,0))*고양시_Modal_split!J$3 * 0.01</f>
        <v>1.2691816600837864</v>
      </c>
      <c r="U99" s="206">
        <f>INDEX($A$87:$H$100,MATCH($L99,$B$87:$B$100,0),MATCH($M$86,$A$87:$H$87,0))*고양시_Modal_split!K$3 * 0.01</f>
        <v>6.2541803223576855E-3</v>
      </c>
      <c r="V99" s="206">
        <f>INDEX($A$87:$H$100,MATCH($L99,$B$87:$B$100,0),MATCH($M$86,$A$87:$H$87,0))*고양시_Modal_split!L$3 * 0.01</f>
        <v>0.12591749715680142</v>
      </c>
      <c r="W99" s="206">
        <f>INDEX($A$87:$H$100,MATCH($L99,$B$87:$B$100,0),MATCH($M$86,$A$87:$H$87,0))*고양시_Modal_split!M$3 * 0.01</f>
        <v>9.5897431609484503E-3</v>
      </c>
      <c r="X99" s="206">
        <f>INDEX($A$87:$H$100,MATCH($L99,$B$87:$B$100,0),MATCH($M$86,$A$87:$H$87,0))*고양시_Modal_split!N$3 * 0.01</f>
        <v>4.1694535482384573E-3</v>
      </c>
      <c r="Y99" s="206">
        <f>INDEX($A$87:$H$100,MATCH($L99,$B$87:$B$100,0),MATCH($M$86,$A$87:$H$87,0))*고양시_Modal_split!O$3 * 0.01</f>
        <v>7.5050163868292229E-3</v>
      </c>
      <c r="Z99" s="209">
        <f>INDEX($A$87:$H$100,MATCH($L99,$B$87:$B$100,0),MATCH($M$86,$A$87:$H$87,0))*고양시_Modal_split!P$3 * 0.01</f>
        <v>4.1694535482384572</v>
      </c>
      <c r="AA99" s="207">
        <f>INDEX($A$87:$H$100,MATCH($L99,$B$87:$B$100,0),MATCH($AA$86,$A$87:$H$87,0))*고양시_Modal_split!C$3 * 0.01</f>
        <v>8.4490527303016455E-2</v>
      </c>
      <c r="AB99" s="207">
        <f>INDEX($A$87:$H$100,MATCH($L99,$B$87:$B$100,0),MATCH($AA$86,$A$87:$H$87,0))*고양시_Modal_split!D$3 * 0.01</f>
        <v>14.191391068074513</v>
      </c>
      <c r="AC99" s="207">
        <f>INDEX($A$87:$H$100,MATCH($L99,$B$87:$B$100,0),MATCH($AA$86,$A$87:$H$87,0))*고양시_Modal_split!E$3 * 0.01</f>
        <v>1.7169682155505843</v>
      </c>
      <c r="AD99" s="207">
        <f>INDEX($A$87:$H$100,MATCH($L99,$B$87:$B$100,0),MATCH($AA$86,$A$87:$H$87,0))*고양시_Modal_split!F$3 * 0.01</f>
        <v>2.7670647691737891</v>
      </c>
      <c r="AE99" s="207">
        <f>INDEX($A$87:$H$100,MATCH($L99,$B$87:$B$100,0),MATCH($AA$86,$A$87:$H$87,0))*고양시_Modal_split!G$3 * 0.01</f>
        <v>0.27761173256705401</v>
      </c>
      <c r="AF99" s="207">
        <f>INDEX($A$87:$H$100,MATCH($L99,$B$87:$B$100,0),MATCH($AA$86,$A$87:$H$87,0))*고양시_Modal_split!H$3 * 0.01</f>
        <v>3.0175188322505877E-3</v>
      </c>
      <c r="AG99" s="207">
        <f>INDEX($A$87:$H$100,MATCH($L99,$B$87:$B$100,0),MATCH($AA$86,$A$87:$H$87,0))*고양시_Modal_split!I$3 * 0.01</f>
        <v>0.8388702353656633</v>
      </c>
      <c r="AH99" s="207">
        <f>INDEX($A$87:$H$100,MATCH($L99,$B$87:$B$100,0),MATCH($AA$86,$A$87:$H$87,0))*고양시_Modal_split!J$3 * 0.01</f>
        <v>9.185327325370789</v>
      </c>
      <c r="AI99" s="207">
        <f>INDEX($A$87:$H$100,MATCH($L99,$B$87:$B$100,0),MATCH($AA$86,$A$87:$H$87,0))*고양시_Modal_split!K$3 * 0.01</f>
        <v>4.5262782483758812E-2</v>
      </c>
      <c r="AJ99" s="207">
        <f>INDEX($A$87:$H$100,MATCH($L99,$B$87:$B$100,0),MATCH($AA$86,$A$87:$H$87,0))*고양시_Modal_split!L$3 * 0.01</f>
        <v>0.91129068733967744</v>
      </c>
      <c r="AK99" s="207">
        <f>INDEX($A$87:$H$100,MATCH($L99,$B$87:$B$100,0),MATCH($AA$86,$A$87:$H$87,0))*고양시_Modal_split!M$3 * 0.01</f>
        <v>6.9402933141763504E-2</v>
      </c>
      <c r="AL99" s="207">
        <f>INDEX($A$87:$H$100,MATCH($L99,$B$87:$B$100,0),MATCH($AA$86,$A$87:$H$87,0))*고양시_Modal_split!N$3 * 0.01</f>
        <v>3.0175188322505875E-2</v>
      </c>
      <c r="AM99" s="207">
        <f>INDEX($A$87:$H$100,MATCH($L99,$B$87:$B$100,0),MATCH($AA$86,$A$87:$H$87,0))*고양시_Modal_split!O$3 * 0.01</f>
        <v>5.4315338980510573E-2</v>
      </c>
      <c r="AN99" s="207">
        <f>INDEX($A$87:$H$100,MATCH($L99,$B$87:$B$100,0),MATCH($AA$86,$A$87:$H$87,0))*고양시_Modal_split!P$3 * 0.01</f>
        <v>30.175188322505875</v>
      </c>
      <c r="AO99" s="303">
        <f>INDEX($A$87:$H$100,MATCH($L99,$B$87:$B$100,0),MATCH($AO$86,$A$87:$H$87,0))*고양시_Modal_split!C$3 * 0.01</f>
        <v>4.8470124197573421E-3</v>
      </c>
      <c r="AP99" s="303">
        <f>INDEX($A$87:$H$100,MATCH($L99,$B$87:$B$100,0),MATCH($AO$86,$A$87:$H$87,0))*고양시_Modal_split!D$3 * 0.01</f>
        <v>0.81412497893281366</v>
      </c>
      <c r="AQ99" s="303">
        <f>INDEX($A$87:$H$100,MATCH($L99,$B$87:$B$100,0),MATCH($AO$86,$A$87:$H$87,0))*고양시_Modal_split!E$3 * 0.01</f>
        <v>9.8498216672925992E-2</v>
      </c>
      <c r="AR99" s="303">
        <f>INDEX($A$87:$H$100,MATCH($L99,$B$87:$B$100,0),MATCH($AO$86,$A$87:$H$87,0))*고양시_Modal_split!F$3 * 0.01</f>
        <v>0.15873965674705295</v>
      </c>
      <c r="AS99" s="303">
        <f>INDEX($A$87:$H$100,MATCH($L99,$B$87:$B$100,0),MATCH($AO$86,$A$87:$H$87,0))*고양시_Modal_split!G$3 * 0.01</f>
        <v>1.5925897950631266E-2</v>
      </c>
      <c r="AT99" s="303">
        <f>INDEX($A$87:$H$100,MATCH($L99,$B$87:$B$100,0),MATCH($AO$86,$A$87:$H$87,0))*고양시_Modal_split!H$3 * 0.01</f>
        <v>1.7310758641990508E-4</v>
      </c>
      <c r="AU99" s="303">
        <f>INDEX($A$87:$H$100,MATCH($L99,$B$87:$B$100,0),MATCH($AO$86,$A$87:$H$87,0))*고양시_Modal_split!I$3 * 0.01</f>
        <v>4.8123909024733617E-2</v>
      </c>
      <c r="AV99" s="303">
        <f>INDEX($A$87:$H$100,MATCH($L99,$B$87:$B$100,0),MATCH($AO$86,$A$87:$H$87,0))*고양시_Modal_split!J$3 * 0.01</f>
        <v>0.52693949306219112</v>
      </c>
      <c r="AW99" s="303">
        <f>INDEX($A$87:$H$100,MATCH($L99,$B$87:$B$100,0),MATCH($AO$86,$A$87:$H$87,0))*고양시_Modal_split!K$3 * 0.01</f>
        <v>2.5966137962985763E-3</v>
      </c>
      <c r="AX99" s="303">
        <f>INDEX($A$87:$H$100,MATCH($L99,$B$87:$B$100,0),MATCH($AO$86,$A$87:$H$87,0))*고양시_Modal_split!L$3 * 0.01</f>
        <v>5.2278491098811337E-2</v>
      </c>
      <c r="AY99" s="303">
        <f>INDEX($A$87:$H$100,MATCH($L99,$B$87:$B$100,0),MATCH($AO$86,$A$87:$H$87,0))*고양시_Modal_split!M$3 * 0.01</f>
        <v>3.9814744876578165E-3</v>
      </c>
      <c r="AZ99" s="303">
        <f>INDEX($A$87:$H$100,MATCH($L99,$B$87:$B$100,0),MATCH($AO$86,$A$87:$H$87,0))*고양시_Modal_split!N$3 * 0.01</f>
        <v>1.731075864199051E-3</v>
      </c>
      <c r="BA99" s="207">
        <f>INDEX($A$87:$H$100,MATCH($L99,$B$87:$B$100,0),MATCH($AO$86,$A$87:$H$87,0))*고양시_Modal_split!O$3 * 0.01</f>
        <v>3.1159365555582914E-3</v>
      </c>
      <c r="BB99" s="207">
        <f>INDEX($A$87:$H$100,MATCH($L99,$B$87:$B$100,0),MATCH($AO$86,$A$87:$H$87,0))*고양시_Modal_split!P$3 * 0.01</f>
        <v>1.7310758641990509</v>
      </c>
      <c r="BC99" s="207">
        <f>INDEX($A$87:$H$100,MATCH($L99,$B$87:$B$100,0),MATCH($BC$86,$A$87:$H$87,0))*고양시_Modal_split!C$3 * 0.01</f>
        <v>7.6170965213578188E-6</v>
      </c>
      <c r="BD99" s="207">
        <f>INDEX($A$87:$H$100,MATCH($L99,$B$87:$B$100,0),MATCH($BC$86,$A$87:$H$87,0))*고양시_Modal_split!D$3 * 0.01</f>
        <v>1.2794001764266367E-3</v>
      </c>
      <c r="BE99" s="207">
        <f>INDEX($A$87:$H$100,MATCH($L99,$B$87:$B$100,0),MATCH($BC$86,$A$87:$H$87,0))*고양시_Modal_split!E$3 * 0.01</f>
        <v>1.5479028288044994E-4</v>
      </c>
      <c r="BF99" s="207">
        <f>INDEX($A$87:$H$100,MATCH($L99,$B$87:$B$100,0),MATCH($BC$86,$A$87:$H$87,0))*고양시_Modal_split!F$3 * 0.01</f>
        <v>2.4945991107446858E-4</v>
      </c>
      <c r="BG99" s="207">
        <f>INDEX($A$87:$H$100,MATCH($L99,$B$87:$B$100,0),MATCH($BC$86,$A$87:$H$87,0))*고양시_Modal_split!G$3 * 0.01</f>
        <v>2.5027602855889974E-5</v>
      </c>
      <c r="BH99" s="207">
        <f>INDEX($A$87:$H$100,MATCH($L99,$B$87:$B$100,0),MATCH($BC$86,$A$87:$H$87,0))*고양시_Modal_split!H$3 * 0.01</f>
        <v>2.7203916147706502E-7</v>
      </c>
      <c r="BI99" s="207">
        <f>INDEX($A$87:$H$100,MATCH($L99,$B$87:$B$100,0),MATCH($BC$86,$A$87:$H$87,0))*고양시_Modal_split!I$3 * 0.01</f>
        <v>7.5626886890624062E-5</v>
      </c>
      <c r="BJ99" s="207">
        <f>INDEX($A$87:$H$100,MATCH($L99,$B$87:$B$100,0),MATCH($BC$86,$A$87:$H$87,0))*고양시_Modal_split!J$3 * 0.01</f>
        <v>8.2808720753618586E-4</v>
      </c>
      <c r="BK99" s="207">
        <f>INDEX($A$87:$H$100,MATCH($L99,$B$87:$B$100,0),MATCH($BC$86,$A$87:$H$87,0))*고양시_Modal_split!K$3 * 0.01</f>
        <v>4.080587422155975E-6</v>
      </c>
      <c r="BL99" s="207">
        <f>INDEX($A$87:$H$100,MATCH($L99,$B$87:$B$100,0),MATCH($BC$86,$A$87:$H$87,0))*고양시_Modal_split!L$3 * 0.01</f>
        <v>8.2155826766073628E-5</v>
      </c>
      <c r="BM99" s="207">
        <f>INDEX($A$87:$H$100,MATCH($L99,$B$87:$B$100,0),MATCH($BC$86,$A$87:$H$87,0))*고양시_Modal_split!M$3 * 0.01</f>
        <v>6.2569007139724935E-6</v>
      </c>
      <c r="BN99" s="207">
        <f>INDEX($A$87:$H$100,MATCH($L99,$B$87:$B$100,0),MATCH($BC$86,$A$87:$H$87,0))*고양시_Modal_split!N$3 * 0.01</f>
        <v>2.7203916147706497E-6</v>
      </c>
      <c r="BO99" s="207">
        <f>INDEX($A$87:$H$100,MATCH($L99,$B$87:$B$100,0),MATCH($BC$86,$A$87:$H$87,0))*고양시_Modal_split!O$3 * 0.01</f>
        <v>4.896704906587169E-6</v>
      </c>
      <c r="BP99" s="207">
        <f>INDEX($A$87:$H$100,MATCH($L99,$B$87:$B$100,0),MATCH($BC$86,$A$87:$H$87,0))*고양시_Modal_split!P$3 * 0.01</f>
        <v>2.7203916147706497E-3</v>
      </c>
      <c r="BQ99" s="207">
        <f>INDEX($A$87:$H$100,MATCH($L99,$B$87:$B$100,0),MATCH($BQ$86,$A$87:$H$87,0))*고양시_Modal_split!C$3 * 0.01</f>
        <v>2.8775697969573886E-5</v>
      </c>
      <c r="BR99" s="207">
        <f>INDEX($A$87:$H$100,MATCH($L99,$B$87:$B$100,0),MATCH($BQ$86,$A$87:$H$87,0))*고양시_Modal_split!D$3 * 0.01</f>
        <v>4.8332895553895002E-3</v>
      </c>
      <c r="BS99" s="207">
        <f>INDEX($A$87:$H$100,MATCH($L99,$B$87:$B$100,0),MATCH($BQ$86,$A$87:$H$87,0))*고양시_Modal_split!E$3 * 0.01</f>
        <v>5.8476329088169782E-4</v>
      </c>
      <c r="BT99" s="207">
        <f>INDEX($A$87:$H$100,MATCH($L99,$B$87:$B$100,0),MATCH($BQ$86,$A$87:$H$87,0))*고양시_Modal_split!F$3 * 0.01</f>
        <v>9.4240410850354478E-4</v>
      </c>
      <c r="BU99" s="207">
        <f>INDEX($A$87:$H$100,MATCH($L99,$B$87:$B$100,0),MATCH($BQ$86,$A$87:$H$87,0))*고양시_Modal_split!G$3 * 0.01</f>
        <v>9.4548721900028488E-5</v>
      </c>
      <c r="BV99" s="207">
        <f>INDEX($A$87:$H$100,MATCH($L99,$B$87:$B$100,0),MATCH($BQ$86,$A$87:$H$87,0))*고양시_Modal_split!H$3 * 0.01</f>
        <v>1.0277034989133532E-6</v>
      </c>
      <c r="BW99" s="207">
        <f>INDEX($A$87:$H$100,MATCH($L99,$B$87:$B$100,0),MATCH($BQ$86,$A$87:$H$87,0))*고양시_Modal_split!I$3 * 0.01</f>
        <v>2.8570157269791217E-4</v>
      </c>
      <c r="BX99" s="207">
        <f>INDEX($A$87:$H$100,MATCH($L99,$B$87:$B$100,0),MATCH($BQ$86,$A$87:$H$87,0))*고양시_Modal_split!J$3 * 0.01</f>
        <v>3.128329450692247E-3</v>
      </c>
      <c r="BY99" s="207">
        <f>INDEX($A$87:$H$100,MATCH($L99,$B$87:$B$100,0),MATCH($BQ$86,$A$87:$H$87,0))*고양시_Modal_split!K$3 * 0.01</f>
        <v>1.5415552483700296E-5</v>
      </c>
      <c r="BZ99" s="207">
        <f>INDEX($A$87:$H$100,MATCH($L99,$B$87:$B$100,0),MATCH($BQ$86,$A$87:$H$87,0))*고양시_Modal_split!L$3 * 0.01</f>
        <v>3.1036645667183264E-4</v>
      </c>
      <c r="CA99" s="207">
        <f>INDEX($A$87:$H$100,MATCH($L99,$B$87:$B$100,0),MATCH($BQ$86,$A$87:$H$87,0))*고양시_Modal_split!M$3 * 0.01</f>
        <v>2.3637180475007122E-5</v>
      </c>
      <c r="CB99" s="207">
        <f>INDEX($A$87:$H$100,MATCH($L99,$B$87:$B$100,0),MATCH($BQ$86,$A$87:$H$87,0))*고양시_Modal_split!N$3 * 0.01</f>
        <v>1.0277034989133532E-5</v>
      </c>
      <c r="CC99" s="207">
        <f>INDEX($A$87:$H$100,MATCH($L99,$B$87:$B$100,0),MATCH($BQ$86,$A$87:$H$87,0))*고양시_Modal_split!O$3 * 0.01</f>
        <v>1.8498662980440358E-5</v>
      </c>
      <c r="CD99" s="207">
        <f>INDEX($A$87:$H$100,MATCH($L99,$B$87:$B$100,0),MATCH($BQ$86,$A$87:$H$87,0))*고양시_Modal_split!P$3 * 0.01</f>
        <v>1.0277034989133531E-2</v>
      </c>
      <c r="CE99" s="304">
        <f t="shared" si="69"/>
        <v>0.10104840245233242</v>
      </c>
      <c r="CF99" s="304">
        <f t="shared" si="51"/>
        <v>16.972522740475686</v>
      </c>
      <c r="CG99" s="304">
        <f t="shared" si="52"/>
        <v>2.0534478926920401</v>
      </c>
      <c r="CH99" s="304">
        <f t="shared" si="53"/>
        <v>3.309335180313886</v>
      </c>
      <c r="CI99" s="304">
        <f t="shared" si="54"/>
        <v>0.33201617948623496</v>
      </c>
      <c r="CJ99" s="304">
        <f t="shared" si="55"/>
        <v>3.6088715161547288E-3</v>
      </c>
      <c r="CK99" s="304">
        <f t="shared" si="56"/>
        <v>1.0032662814910145</v>
      </c>
      <c r="CL99" s="304">
        <f t="shared" si="57"/>
        <v>10.985404895174995</v>
      </c>
      <c r="CM99" s="304">
        <f t="shared" si="58"/>
        <v>5.4133072742320931E-2</v>
      </c>
      <c r="CN99" s="304">
        <f t="shared" si="59"/>
        <v>1.0898791978787283</v>
      </c>
      <c r="CO99" s="304">
        <f t="shared" si="60"/>
        <v>8.3004044871558741E-2</v>
      </c>
      <c r="CP99" s="304">
        <f t="shared" si="61"/>
        <v>3.608871516154729E-2</v>
      </c>
      <c r="CQ99" s="304">
        <f t="shared" si="62"/>
        <v>6.4959687290785106E-2</v>
      </c>
      <c r="CR99" s="304">
        <f t="shared" si="63"/>
        <v>36.088715161547285</v>
      </c>
      <c r="CS99" s="305">
        <f t="shared" si="70"/>
        <v>0</v>
      </c>
      <c r="CV99" s="267" t="s">
        <v>171</v>
      </c>
      <c r="CW99" s="267" t="s">
        <v>171</v>
      </c>
      <c r="CX99" s="267">
        <f>INDEX($M$86:$Z$100,MATCH($CW99,$L$86:$L$100,0),MATCH(CX$87,$M$87:$Z$87,0))/INDEX(고양시_재차인원!$D$4:$H$35,MATCH("고양시",고양시_재차인원!$B$4:$B$35,0),MATCH($CX$86,고양시_재차인원!$D$4:$H$4,0))</f>
        <v>1.7507982176219163</v>
      </c>
      <c r="CY99" s="267">
        <f>INDEX($M$86:$Z$100,MATCH($CW99,$L$86:$L$100,0),MATCH(CY$87,$M$87:$Z$87,0))/INDEX(고양시_재차인원!$K$4:$O$20,MATCH("경기도",고양시_재차인원!$K$4:$K$20,0),MATCH($CY$87,고양시_재차인원!$K$4:$O$4,0))</f>
        <v>1.448229784035588E-5</v>
      </c>
      <c r="CZ99" s="267">
        <f>INDEX($M$86:$Z$100,MATCH($CW99,$L$86:$L$100,0),MATCH(CZ$87,$M$87:$Z$87,0))/INDEX(고양시_재차인원!$K$4:$O$20,MATCH("경기도",고양시_재차인원!$K$4:$K$20,0),MATCH($CZ$87,고양시_재차인원!$K$4:$O$4,0))</f>
        <v>4.0260787996189333E-3</v>
      </c>
      <c r="DA99" s="267">
        <f>INDEX($M$86:$Z$100,MATCH($CW99,$L$86:$L$100,0),MATCH(DA$87,$M$87:$Z$87,0))/INDEX(고양시_재차인원!$D$4:$H$35,MATCH("고양시",고양시_재차인원!$B$4:$B$35,0),MATCH($CX$86,고양시_재차인원!$D$4:$H$4,0))</f>
        <v>0.11242633674714411</v>
      </c>
      <c r="DB99" s="267">
        <f>INDEX($AA$86:$AN$100,MATCH($CW99,$L$86:$L$100,0),MATCH(DB$87,$AA$87:$AN$87,0))/INDEX(고양시_재차인원!$D$4:$H$35,MATCH("고양시",고양시_재차인원!$B$4:$B$35,0),MATCH($DB$86,고양시_재차인원!$D$4:$H$4,0))</f>
        <v>10.064816360336534</v>
      </c>
      <c r="DC99" s="267">
        <f>INDEX($AA$86:$AN$100,MATCH($CW99,$L$86:$L$100,0),MATCH(DC$87,$AA$87:$AN$87,0))/INDEX(고양시_재차인원!$K$4:$O$20,MATCH("경기도",고양시_재차인원!$K$4:$K$20,0),MATCH(DC$87,고양시_재차인원!$K$4:$O$4,0))</f>
        <v>1.0481135228379951E-4</v>
      </c>
      <c r="DD99" s="267">
        <f>INDEX($AA$86:$AN$100,MATCH($CW99,$L$86:$L$100,0),MATCH(DD$87,$AA$87:$AN$87,0))/INDEX(고양시_재차인원!$K$4:$O$20,MATCH("경기도",고양시_재차인원!$K$4:$K$20,0),MATCH(DD$87,고양시_재차인원!$K$4:$O$4,0))</f>
        <v>2.913755593489626E-2</v>
      </c>
      <c r="DE99" s="267">
        <f>INDEX($AA$86:$AN$100,MATCH($CW99,$L$86:$L$100,0),MATCH(DE$87,$AA$87:$AN$87,0))/INDEX(고양시_재차인원!$D$4:$H$35,MATCH("고양시",고양시_재차인원!$B$4:$B$35,0),MATCH($DB$86,고양시_재차인원!$D$4:$H$4,0))</f>
        <v>0.64630545201395562</v>
      </c>
      <c r="DF99" s="267">
        <f>INDEX($AO$86:$BB$100,MATCH($CW99,$L$86:$L$100,0),MATCH(DF$87,$AO$87:$BB$87,0))/INDEX(고양시_재차인원!$D$4:$H$35,MATCH("고양시",고양시_재차인원!$B$4:$B$35,0),MATCH($DF$86,고양시_재차인원!$D$4:$H$4,0))</f>
        <v>0.62624998379447205</v>
      </c>
      <c r="DG99" s="267">
        <f>INDEX($AO$86:$BB$100,MATCH($CW99,$L$86:$L$100,0),MATCH(DG$87,$AO$87:$BB$87,0))/INDEX(고양시_재차인원!$K$4:$O$20,MATCH("경기도",고양시_재차인원!$K$4:$K$20,0),MATCH(DG$87,고양시_재차인원!$K$4:$O$4,0))</f>
        <v>6.0127678506392874E-6</v>
      </c>
      <c r="DH99" s="267">
        <f>INDEX($AO$86:$BB$100,MATCH($CW99,$L$86:$L$100,0),MATCH(DH$87,$AO$87:$BB$87,0))/INDEX(고양시_재차인원!$K$4:$O$20,MATCH("경기도",고양시_재차인원!$K$4:$K$20,0),MATCH(DH$87,고양시_재차인원!$K$4:$O$4,0))</f>
        <v>1.6715494624777222E-3</v>
      </c>
      <c r="DI99" s="267">
        <f>INDEX($AO$86:$BB$100,MATCH($CW99,$L$86:$L$100,0),MATCH(DI$87,$AO$87:$BB$87,0))/INDEX(고양시_재차인원!$D$4:$H$35,MATCH("고양시",고양시_재차인원!$B$4:$B$35,0),MATCH($DF$86,고양시_재차인원!$D$4:$H$4,0))</f>
        <v>4.0214223922162569E-2</v>
      </c>
      <c r="DJ99" s="267">
        <f>INDEX($BC$86:$BP$100,MATCH($CW99,$L$86:$L$100,0),MATCH(DJ$87,$BC$87:$BP$87,0))/INDEX(고양시_재차인원!$D$4:$H$35,MATCH("고양시",고양시_재차인원!$B$4:$B$35,0),MATCH($DJ$86,고양시_재차인원!$D$4:$H$4,0))</f>
        <v>9.4073542384311517E-4</v>
      </c>
      <c r="DK99" s="267">
        <f>INDEX($BC$86:$BP$100,MATCH($CW99,$L$86:$L$100,0),MATCH(DK$87,$BC$87:$BP$87,0))/INDEX(고양시_재차인원!$K$4:$O$20,MATCH("경기도",고양시_재차인원!$K$4:$K$20,0),MATCH(DK$87,고양시_재차인원!$K$4:$O$4,0))</f>
        <v>9.4490851502974994E-9</v>
      </c>
      <c r="DL99" s="267">
        <f>INDEX($BC$86:$BP$100,MATCH($CW99,$L$86:$L$100,0),MATCH(DL$87,$BC$87:$BP$87,0))/INDEX(고양시_재차인원!$K$4:$O$20,MATCH("경기도",고양시_재차인원!$K$4:$K$20,0),MATCH(DL$87,고양시_재차인원!$K$4:$O$4,0))</f>
        <v>2.6268456717827048E-6</v>
      </c>
      <c r="DM99" s="267">
        <f>INDEX($BC$86:$BP$100,MATCH($CW99,$L$86:$L$100,0),MATCH(DM$87,$BC$87:$BP$87,0))/INDEX(고양시_재차인원!$D$4:$H$35,MATCH("고양시",고양시_재차인원!$B$4:$B$35,0),MATCH($DJ$86,고양시_재차인원!$D$4:$H$4,0))</f>
        <v>6.040869615152472E-5</v>
      </c>
      <c r="DN99" s="267">
        <f>INDEX($BQ$86:$CD$100,MATCH($CW99,$L$86:$L$100,0),MATCH(DN$87,$BQ$87:$CD$87,0))/INDEX(고양시_재차인원!$D$4:$H$35,MATCH("고양시",고양시_재차인원!$B$4:$B$35,0),MATCH($DN$86,고양시_재차인원!$D$4:$H$4,0))</f>
        <v>3.8359440915789684E-3</v>
      </c>
      <c r="DO99" s="267">
        <f>INDEX($BQ$86:$CD$100,MATCH($CW99,$L$86:$L$100,0),MATCH(DO$87,$BQ$87:$CD$87,0))/INDEX(고양시_재차인원!$K$4:$O$20,MATCH("경기도",고양시_재차인원!$K$4:$K$20,0),MATCH(DO$87,고양시_재차인원!$K$4:$O$4,0))</f>
        <v>3.5696543901123765E-8</v>
      </c>
      <c r="DP99" s="267">
        <f>INDEX($BQ$86:$CD$100,MATCH($CW99,$L$86:$L$100,0),MATCH(DP$87,$BQ$87:$CD$87,0))/INDEX(고양시_재차인원!$K$4:$O$20,MATCH("경기도",고양시_재차인원!$K$4:$K$20,0),MATCH(DP$87,고양시_재차인원!$K$4:$O$4,0))</f>
        <v>9.9236392045124063E-6</v>
      </c>
      <c r="DQ99" s="267">
        <f>INDEX($BQ$86:$CD$100,MATCH($CW99,$L$86:$L$100,0),MATCH(DQ$87,$BQ$87:$CD$87,0))/INDEX(고양시_재차인원!$D$4:$H$35,MATCH("고양시",고양시_재차인원!$B$4:$B$35,0),MATCH($DN$86,고양시_재차인원!$D$4:$H$4,0))</f>
        <v>2.4632258466018462E-4</v>
      </c>
      <c r="DR99" s="270">
        <f t="shared" si="71"/>
        <v>12.446641241268344</v>
      </c>
      <c r="DS99" s="270">
        <f t="shared" si="64"/>
        <v>1.253515636038461E-4</v>
      </c>
      <c r="DT99" s="270">
        <f t="shared" si="65"/>
        <v>3.4847734681869212E-2</v>
      </c>
      <c r="DU99" s="270">
        <f t="shared" si="66"/>
        <v>0.79925274396407398</v>
      </c>
      <c r="DW99" s="278" t="s">
        <v>171</v>
      </c>
      <c r="DX99" s="278" t="s">
        <v>171</v>
      </c>
      <c r="DY99" s="281">
        <f t="shared" si="72"/>
        <v>13.245893985232417</v>
      </c>
      <c r="DZ99" s="281">
        <f t="shared" si="73"/>
        <v>3.4973086245473059E-2</v>
      </c>
      <c r="EB99" s="278" t="s">
        <v>26</v>
      </c>
      <c r="EC99" s="278" t="s">
        <v>26</v>
      </c>
      <c r="ED99" s="281">
        <f t="shared" si="81"/>
        <v>5698.8765955537301</v>
      </c>
      <c r="EE99" s="281">
        <f t="shared" si="80"/>
        <v>15.046723377131975</v>
      </c>
      <c r="EK99" s="420" t="s">
        <v>47</v>
      </c>
      <c r="EL99" s="420" t="s">
        <v>47</v>
      </c>
      <c r="EM99" s="420" t="s">
        <v>572</v>
      </c>
      <c r="EN99" s="420">
        <v>2252.9902000000002</v>
      </c>
      <c r="EO99" s="420">
        <v>0.23602173772802626</v>
      </c>
      <c r="EP99" s="421">
        <v>849012</v>
      </c>
      <c r="EQ99" s="422">
        <f t="shared" si="75"/>
        <v>56.991388463362846</v>
      </c>
      <c r="ER99" s="422">
        <f t="shared" si="76"/>
        <v>0.15047415796929872</v>
      </c>
      <c r="ES99">
        <v>0</v>
      </c>
      <c r="EU99" s="306" t="s">
        <v>47</v>
      </c>
      <c r="EV99" s="306" t="s">
        <v>47</v>
      </c>
      <c r="EW99" s="306" t="s">
        <v>572</v>
      </c>
      <c r="EX99" s="306">
        <v>2252.9902000000002</v>
      </c>
      <c r="EY99" s="306">
        <v>0.23602173772802626</v>
      </c>
      <c r="EZ99" s="307">
        <v>849012</v>
      </c>
      <c r="FA99" s="308">
        <f t="shared" si="77"/>
        <v>56.991388463362846</v>
      </c>
      <c r="FB99" s="308">
        <f t="shared" si="68"/>
        <v>0.15047415796929872</v>
      </c>
      <c r="FD99" s="101"/>
      <c r="FE99" s="101"/>
      <c r="FF99" s="101"/>
      <c r="FG99" s="101"/>
      <c r="FH99" s="101"/>
      <c r="FI99" s="374"/>
      <c r="FJ99" s="404"/>
      <c r="FK99" s="404"/>
    </row>
    <row r="100" spans="1:167">
      <c r="A100" s="205" t="s">
        <v>26</v>
      </c>
      <c r="B100" s="205" t="s">
        <v>26</v>
      </c>
      <c r="C100" s="201">
        <f>$K41*KTDB_TripDistribution_2040!T$12</f>
        <v>1793.8541006590783</v>
      </c>
      <c r="D100" s="201">
        <f>$K41*KTDB_TripDistribution_2040!U$12</f>
        <v>12982.489116195169</v>
      </c>
      <c r="E100" s="201">
        <f>$K41*KTDB_TripDistribution_2040!V$12</f>
        <v>744.77326623710087</v>
      </c>
      <c r="F100" s="201">
        <f>$K41*KTDB_TripDistribution_2040!W$12</f>
        <v>1.1704137237880095</v>
      </c>
      <c r="G100" s="201">
        <f>$K41*KTDB_TripDistribution_2040!X$12</f>
        <v>4.4215629565324654</v>
      </c>
      <c r="H100" s="201">
        <f>$K41*KTDB_TripDistribution_2040!Y$12</f>
        <v>15526.708459771671</v>
      </c>
      <c r="I100" t="b">
        <f>H100=$L$41</f>
        <v>1</v>
      </c>
      <c r="J100" s="230">
        <f>CR100</f>
        <v>15526.708459771673</v>
      </c>
      <c r="K100" s="206" t="s">
        <v>26</v>
      </c>
      <c r="L100" s="206" t="s">
        <v>26</v>
      </c>
      <c r="M100" s="206">
        <f>INDEX($A$87:$H$100,MATCH($L100,$B$87:$B$100,0),MATCH($M$86,$A$87:$H$87,0))*고양시_Modal_split!C$3 * 0.01</f>
        <v>5.0227914818454193</v>
      </c>
      <c r="N100" s="206">
        <f>INDEX($A$87:$H$100,MATCH($L100,$B$87:$B$100,0),MATCH($M$86,$A$87:$H$87,0))*고양시_Modal_split!D$3 * 0.01</f>
        <v>843.64958353996451</v>
      </c>
      <c r="O100" s="206">
        <f>INDEX($A$87:$H$100,MATCH($L100,$B$87:$B$100,0),MATCH($M$86,$A$87:$H$87,0))*고양시_Modal_split!E$3 * 0.01</f>
        <v>102.07029832750155</v>
      </c>
      <c r="P100" s="206">
        <f>INDEX($A$87:$H$100,MATCH($L100,$B$87:$B$100,0),MATCH($M$86,$A$87:$H$87,0))*고양시_Modal_split!F$3 * 0.01</f>
        <v>164.49642103043749</v>
      </c>
      <c r="Q100" s="206">
        <f>INDEX($A$87:$H$100,MATCH($L100,$B$87:$B$100,0),MATCH($M$86,$A$87:$H$87,0))*고양시_Modal_split!G$3 * 0.01</f>
        <v>16.50345772606352</v>
      </c>
      <c r="R100" s="206">
        <f>INDEX($A$87:$H$100,MATCH($L100,$B$87:$B$100,0),MATCH($M$86,$A$87:$H$87,0))*고양시_Modal_split!H$3 * 0.01</f>
        <v>0.17938541006590783</v>
      </c>
      <c r="S100" s="206">
        <f>INDEX($A$87:$H$100,MATCH($L100,$B$87:$B$100,0),MATCH($M$86,$A$87:$H$87,0))*고양시_Modal_split!I$3 * 0.01</f>
        <v>49.869143998322372</v>
      </c>
      <c r="T100" s="206">
        <f>INDEX($A$87:$H$100,MATCH($L100,$B$87:$B$100,0),MATCH($M$86,$A$87:$H$87,0))*고양시_Modal_split!J$3 * 0.01</f>
        <v>546.04918824062349</v>
      </c>
      <c r="U100" s="206">
        <f>INDEX($A$87:$H$100,MATCH($L100,$B$87:$B$100,0),MATCH($M$86,$A$87:$H$87,0))*고양시_Modal_split!K$3 * 0.01</f>
        <v>2.6907811509886175</v>
      </c>
      <c r="V100" s="206">
        <f>INDEX($A$87:$H$100,MATCH($L100,$B$87:$B$100,0),MATCH($M$86,$A$87:$H$87,0))*고양시_Modal_split!L$3 * 0.01</f>
        <v>54.17439383990417</v>
      </c>
      <c r="W100" s="206">
        <f>INDEX($A$87:$H$100,MATCH($L100,$B$87:$B$100,0),MATCH($M$86,$A$87:$H$87,0))*고양시_Modal_split!M$3 * 0.01</f>
        <v>4.1258644315158799</v>
      </c>
      <c r="X100" s="206">
        <f>INDEX($A$87:$H$100,MATCH($L100,$B$87:$B$100,0),MATCH($M$86,$A$87:$H$87,0))*고양시_Modal_split!N$3 * 0.01</f>
        <v>1.7938541006590785</v>
      </c>
      <c r="Y100" s="206">
        <f>INDEX($A$87:$H$100,MATCH($L100,$B$87:$B$100,0),MATCH($M$86,$A$87:$H$87,0))*고양시_Modal_split!O$3 * 0.01</f>
        <v>3.2289373811863409</v>
      </c>
      <c r="Z100" s="209">
        <f>INDEX($A$87:$H$100,MATCH($L100,$B$87:$B$100,0),MATCH($M$86,$A$87:$H$87,0))*고양시_Modal_split!P$3 * 0.01</f>
        <v>1793.8541006590785</v>
      </c>
      <c r="AA100" s="207">
        <f>INDEX($A$87:$H$100,MATCH($L100,$B$87:$B$100,0),MATCH($AA$86,$A$87:$H$87,0))*고양시_Modal_split!C$3 * 0.01</f>
        <v>36.350969525346471</v>
      </c>
      <c r="AB100" s="207">
        <f>INDEX($A$87:$H$100,MATCH($L100,$B$87:$B$100,0),MATCH($AA$86,$A$87:$H$87,0))*고양시_Modal_split!D$3 * 0.01</f>
        <v>6105.664631346589</v>
      </c>
      <c r="AC100" s="207">
        <f>INDEX($A$87:$H$100,MATCH($L100,$B$87:$B$100,0),MATCH($AA$86,$A$87:$H$87,0))*고양시_Modal_split!E$3 * 0.01</f>
        <v>738.70363071150507</v>
      </c>
      <c r="AD100" s="207">
        <f>INDEX($A$87:$H$100,MATCH($L100,$B$87:$B$100,0),MATCH($AA$86,$A$87:$H$87,0))*고양시_Modal_split!F$3 * 0.01</f>
        <v>1190.4942519550971</v>
      </c>
      <c r="AE100" s="207">
        <f>INDEX($A$87:$H$100,MATCH($L100,$B$87:$B$100,0),MATCH($AA$86,$A$87:$H$87,0))*고양시_Modal_split!G$3 * 0.01</f>
        <v>119.43889986899555</v>
      </c>
      <c r="AF100" s="207">
        <f>INDEX($A$87:$H$100,MATCH($L100,$B$87:$B$100,0),MATCH($AA$86,$A$87:$H$87,0))*고양시_Modal_split!H$3 * 0.01</f>
        <v>1.2982489116195168</v>
      </c>
      <c r="AG100" s="207">
        <f>INDEX($A$87:$H$100,MATCH($L100,$B$87:$B$100,0),MATCH($AA$86,$A$87:$H$87,0))*고양시_Modal_split!I$3 * 0.01</f>
        <v>360.91319743022569</v>
      </c>
      <c r="AH100" s="207">
        <f>INDEX($A$87:$H$100,MATCH($L100,$B$87:$B$100,0),MATCH($AA$86,$A$87:$H$87,0))*고양시_Modal_split!J$3 * 0.01</f>
        <v>3951.8696869698097</v>
      </c>
      <c r="AI100" s="207">
        <f>INDEX($A$87:$H$100,MATCH($L100,$B$87:$B$100,0),MATCH($AA$86,$A$87:$H$87,0))*고양시_Modal_split!K$3 * 0.01</f>
        <v>19.473733674292752</v>
      </c>
      <c r="AJ100" s="207">
        <f>INDEX($A$87:$H$100,MATCH($L100,$B$87:$B$100,0),MATCH($AA$86,$A$87:$H$87,0))*고양시_Modal_split!L$3 * 0.01</f>
        <v>392.07117130909415</v>
      </c>
      <c r="AK100" s="207">
        <f>INDEX($A$87:$H$100,MATCH($L100,$B$87:$B$100,0),MATCH($AA$86,$A$87:$H$87,0))*고양시_Modal_split!M$3 * 0.01</f>
        <v>29.859724967248887</v>
      </c>
      <c r="AL100" s="207">
        <f>INDEX($A$87:$H$100,MATCH($L100,$B$87:$B$100,0),MATCH($AA$86,$A$87:$H$87,0))*고양시_Modal_split!N$3 * 0.01</f>
        <v>12.98248911619517</v>
      </c>
      <c r="AM100" s="207">
        <f>INDEX($A$87:$H$100,MATCH($L100,$B$87:$B$100,0),MATCH($AA$86,$A$87:$H$87,0))*고양시_Modal_split!O$3 * 0.01</f>
        <v>23.368480409151303</v>
      </c>
      <c r="AN100" s="207">
        <f>INDEX($A$87:$H$100,MATCH($L100,$B$87:$B$100,0),MATCH($AA$86,$A$87:$H$87,0))*고양시_Modal_split!P$3 * 0.01</f>
        <v>12982.489116195171</v>
      </c>
      <c r="AO100" s="303">
        <f>INDEX($A$87:$H$100,MATCH($L100,$B$87:$B$100,0),MATCH($AO$86,$A$87:$H$87,0))*고양시_Modal_split!C$3 * 0.01</f>
        <v>2.0853651454638822</v>
      </c>
      <c r="AP100" s="303">
        <f>INDEX($A$87:$H$100,MATCH($L100,$B$87:$B$100,0),MATCH($AO$86,$A$87:$H$87,0))*고양시_Modal_split!D$3 * 0.01</f>
        <v>350.26686711130856</v>
      </c>
      <c r="AQ100" s="303">
        <f>INDEX($A$87:$H$100,MATCH($L100,$B$87:$B$100,0),MATCH($AO$86,$A$87:$H$87,0))*고양시_Modal_split!E$3 * 0.01</f>
        <v>42.37759884889104</v>
      </c>
      <c r="AR100" s="303">
        <f>INDEX($A$87:$H$100,MATCH($L100,$B$87:$B$100,0),MATCH($AO$86,$A$87:$H$87,0))*고양시_Modal_split!F$3 * 0.01</f>
        <v>68.295708513942145</v>
      </c>
      <c r="AS100" s="303">
        <f>INDEX($A$87:$H$100,MATCH($L100,$B$87:$B$100,0),MATCH($AO$86,$A$87:$H$87,0))*고양시_Modal_split!G$3 * 0.01</f>
        <v>6.8519140493813282</v>
      </c>
      <c r="AT100" s="303">
        <f>INDEX($A$87:$H$100,MATCH($L100,$B$87:$B$100,0),MATCH($AO$86,$A$87:$H$87,0))*고양시_Modal_split!H$3 * 0.01</f>
        <v>7.4477326623710094E-2</v>
      </c>
      <c r="AU100" s="303">
        <f>INDEX($A$87:$H$100,MATCH($L100,$B$87:$B$100,0),MATCH($AO$86,$A$87:$H$87,0))*고양시_Modal_split!I$3 * 0.01</f>
        <v>20.704696801391403</v>
      </c>
      <c r="AV100" s="303">
        <f>INDEX($A$87:$H$100,MATCH($L100,$B$87:$B$100,0),MATCH($AO$86,$A$87:$H$87,0))*고양시_Modal_split!J$3 * 0.01</f>
        <v>226.70898224257351</v>
      </c>
      <c r="AW100" s="303">
        <f>INDEX($A$87:$H$100,MATCH($L100,$B$87:$B$100,0),MATCH($AO$86,$A$87:$H$87,0))*고양시_Modal_split!K$3 * 0.01</f>
        <v>1.1171598993556513</v>
      </c>
      <c r="AX100" s="303">
        <f>INDEX($A$87:$H$100,MATCH($L100,$B$87:$B$100,0),MATCH($AO$86,$A$87:$H$87,0))*고양시_Modal_split!L$3 * 0.01</f>
        <v>22.492152640360445</v>
      </c>
      <c r="AY100" s="303">
        <f>INDEX($A$87:$H$100,MATCH($L100,$B$87:$B$100,0),MATCH($AO$86,$A$87:$H$87,0))*고양시_Modal_split!M$3 * 0.01</f>
        <v>1.712978512345332</v>
      </c>
      <c r="AZ100" s="303">
        <f>INDEX($A$87:$H$100,MATCH($L100,$B$87:$B$100,0),MATCH($AO$86,$A$87:$H$87,0))*고양시_Modal_split!N$3 * 0.01</f>
        <v>0.74477326623710083</v>
      </c>
      <c r="BA100" s="207">
        <f>INDEX($A$87:$H$100,MATCH($L100,$B$87:$B$100,0),MATCH($AO$86,$A$87:$H$87,0))*고양시_Modal_split!O$3 * 0.01</f>
        <v>1.3405918792267815</v>
      </c>
      <c r="BB100" s="207">
        <f>INDEX($A$87:$H$100,MATCH($L100,$B$87:$B$100,0),MATCH($AO$86,$A$87:$H$87,0))*고양시_Modal_split!P$3 * 0.01</f>
        <v>744.77326623710087</v>
      </c>
      <c r="BC100" s="207">
        <f>INDEX($A$87:$H$100,MATCH($L100,$B$87:$B$100,0),MATCH($BC$86,$A$87:$H$87,0))*고양시_Modal_split!C$3 * 0.01</f>
        <v>3.2771584266064265E-3</v>
      </c>
      <c r="BD100" s="207">
        <f>INDEX($A$87:$H$100,MATCH($L100,$B$87:$B$100,0),MATCH($BC$86,$A$87:$H$87,0))*고양시_Modal_split!D$3 * 0.01</f>
        <v>0.55044557429750085</v>
      </c>
      <c r="BE100" s="207">
        <f>INDEX($A$87:$H$100,MATCH($L100,$B$87:$B$100,0),MATCH($BC$86,$A$87:$H$87,0))*고양시_Modal_split!E$3 * 0.01</f>
        <v>6.6596540883537725E-2</v>
      </c>
      <c r="BF100" s="207">
        <f>INDEX($A$87:$H$100,MATCH($L100,$B$87:$B$100,0),MATCH($BC$86,$A$87:$H$87,0))*고양시_Modal_split!F$3 * 0.01</f>
        <v>0.10732693847136046</v>
      </c>
      <c r="BG100" s="207">
        <f>INDEX($A$87:$H$100,MATCH($L100,$B$87:$B$100,0),MATCH($BC$86,$A$87:$H$87,0))*고양시_Modal_split!G$3 * 0.01</f>
        <v>1.0767806258849686E-2</v>
      </c>
      <c r="BH100" s="207">
        <f>INDEX($A$87:$H$100,MATCH($L100,$B$87:$B$100,0),MATCH($BC$86,$A$87:$H$87,0))*고양시_Modal_split!H$3 * 0.01</f>
        <v>1.1704137237880094E-4</v>
      </c>
      <c r="BI100" s="207">
        <f>INDEX($A$87:$H$100,MATCH($L100,$B$87:$B$100,0),MATCH($BC$86,$A$87:$H$87,0))*고양시_Modal_split!I$3 * 0.01</f>
        <v>3.2537501521306661E-2</v>
      </c>
      <c r="BJ100" s="207">
        <f>INDEX($A$87:$H$100,MATCH($L100,$B$87:$B$100,0),MATCH($BC$86,$A$87:$H$87,0))*고양시_Modal_split!J$3 * 0.01</f>
        <v>0.35627393752107012</v>
      </c>
      <c r="BK100" s="207">
        <f>INDEX($A$87:$H$100,MATCH($L100,$B$87:$B$100,0),MATCH($BC$86,$A$87:$H$87,0))*고양시_Modal_split!K$3 * 0.01</f>
        <v>1.7556205856820142E-3</v>
      </c>
      <c r="BL100" s="207">
        <f>INDEX($A$87:$H$100,MATCH($L100,$B$87:$B$100,0),MATCH($BC$86,$A$87:$H$87,0))*고양시_Modal_split!L$3 * 0.01</f>
        <v>3.5346494458397888E-2</v>
      </c>
      <c r="BM100" s="207">
        <f>INDEX($A$87:$H$100,MATCH($L100,$B$87:$B$100,0),MATCH($BC$86,$A$87:$H$87,0))*고양시_Modal_split!M$3 * 0.01</f>
        <v>2.6919515647124215E-3</v>
      </c>
      <c r="BN100" s="207">
        <f>INDEX($A$87:$H$100,MATCH($L100,$B$87:$B$100,0),MATCH($BC$86,$A$87:$H$87,0))*고양시_Modal_split!N$3 * 0.01</f>
        <v>1.1704137237880095E-3</v>
      </c>
      <c r="BO100" s="207">
        <f>INDEX($A$87:$H$100,MATCH($L100,$B$87:$B$100,0),MATCH($BC$86,$A$87:$H$87,0))*고양시_Modal_split!O$3 * 0.01</f>
        <v>2.106744702818417E-3</v>
      </c>
      <c r="BP100" s="207">
        <f>INDEX($A$87:$H$100,MATCH($L100,$B$87:$B$100,0),MATCH($BC$86,$A$87:$H$87,0))*고양시_Modal_split!P$3 * 0.01</f>
        <v>1.1704137237880095</v>
      </c>
      <c r="BQ100" s="207">
        <f>INDEX($A$87:$H$100,MATCH($L100,$B$87:$B$100,0),MATCH($BQ$86,$A$87:$H$87,0))*고양시_Modal_split!C$3 * 0.01</f>
        <v>1.2380376278290901E-2</v>
      </c>
      <c r="BR100" s="207">
        <f>INDEX($A$87:$H$100,MATCH($L100,$B$87:$B$100,0),MATCH($BQ$86,$A$87:$H$87,0))*고양시_Modal_split!D$3 * 0.01</f>
        <v>2.0794610584572188</v>
      </c>
      <c r="BS100" s="207">
        <f>INDEX($A$87:$H$100,MATCH($L100,$B$87:$B$100,0),MATCH($BQ$86,$A$87:$H$87,0))*고양시_Modal_split!E$3 * 0.01</f>
        <v>0.25158693222669726</v>
      </c>
      <c r="BT100" s="207">
        <f>INDEX($A$87:$H$100,MATCH($L100,$B$87:$B$100,0),MATCH($BQ$86,$A$87:$H$87,0))*고양시_Modal_split!F$3 * 0.01</f>
        <v>0.4054573231140271</v>
      </c>
      <c r="BU100" s="207">
        <f>INDEX($A$87:$H$100,MATCH($L100,$B$87:$B$100,0),MATCH($BQ$86,$A$87:$H$87,0))*고양시_Modal_split!G$3 * 0.01</f>
        <v>4.0678379200098681E-2</v>
      </c>
      <c r="BV100" s="207">
        <f>INDEX($A$87:$H$100,MATCH($L100,$B$87:$B$100,0),MATCH($BQ$86,$A$87:$H$87,0))*고양시_Modal_split!H$3 * 0.01</f>
        <v>4.4215629565324654E-4</v>
      </c>
      <c r="BW100" s="207">
        <f>INDEX($A$87:$H$100,MATCH($L100,$B$87:$B$100,0),MATCH($BQ$86,$A$87:$H$87,0))*고양시_Modal_split!I$3 * 0.01</f>
        <v>0.12291945019160254</v>
      </c>
      <c r="BX100" s="207">
        <f>INDEX($A$87:$H$100,MATCH($L100,$B$87:$B$100,0),MATCH($BQ$86,$A$87:$H$87,0))*고양시_Modal_split!J$3 * 0.01</f>
        <v>1.3459237639684827</v>
      </c>
      <c r="BY100" s="207">
        <f>INDEX($A$87:$H$100,MATCH($L100,$B$87:$B$100,0),MATCH($BQ$86,$A$87:$H$87,0))*고양시_Modal_split!K$3 * 0.01</f>
        <v>6.632344434798698E-3</v>
      </c>
      <c r="BZ100" s="207">
        <f>INDEX($A$87:$H$100,MATCH($L100,$B$87:$B$100,0),MATCH($BQ$86,$A$87:$H$87,0))*고양시_Modal_split!L$3 * 0.01</f>
        <v>0.13353120128728047</v>
      </c>
      <c r="CA100" s="207">
        <f>INDEX($A$87:$H$100,MATCH($L100,$B$87:$B$100,0),MATCH($BQ$86,$A$87:$H$87,0))*고양시_Modal_split!M$3 * 0.01</f>
        <v>1.016959480002467E-2</v>
      </c>
      <c r="CB100" s="207">
        <f>INDEX($A$87:$H$100,MATCH($L100,$B$87:$B$100,0),MATCH($BQ$86,$A$87:$H$87,0))*고양시_Modal_split!N$3 * 0.01</f>
        <v>4.4215629565324656E-3</v>
      </c>
      <c r="CC100" s="207">
        <f>INDEX($A$87:$H$100,MATCH($L100,$B$87:$B$100,0),MATCH($BQ$86,$A$87:$H$87,0))*고양시_Modal_split!O$3 * 0.01</f>
        <v>7.9588133217584379E-3</v>
      </c>
      <c r="CD100" s="207">
        <f>INDEX($A$87:$H$100,MATCH($L100,$B$87:$B$100,0),MATCH($BQ$86,$A$87:$H$87,0))*고양시_Modal_split!P$3 * 0.01</f>
        <v>4.4215629565324654</v>
      </c>
      <c r="CE100" s="304">
        <f t="shared" si="69"/>
        <v>43.47478368736067</v>
      </c>
      <c r="CF100" s="304">
        <f t="shared" si="51"/>
        <v>7302.2109886306171</v>
      </c>
      <c r="CG100" s="304">
        <f t="shared" si="52"/>
        <v>883.46971136100785</v>
      </c>
      <c r="CH100" s="304">
        <f t="shared" si="53"/>
        <v>1423.7991657610619</v>
      </c>
      <c r="CI100" s="304">
        <f t="shared" si="54"/>
        <v>142.84571782989934</v>
      </c>
      <c r="CJ100" s="304">
        <f t="shared" si="55"/>
        <v>1.5526708459771668</v>
      </c>
      <c r="CK100" s="304">
        <f t="shared" si="56"/>
        <v>431.64249518165235</v>
      </c>
      <c r="CL100" s="304">
        <f t="shared" si="57"/>
        <v>4726.3300551544953</v>
      </c>
      <c r="CM100" s="304">
        <f t="shared" si="58"/>
        <v>23.290062689657503</v>
      </c>
      <c r="CN100" s="304">
        <f t="shared" si="59"/>
        <v>468.90659548510439</v>
      </c>
      <c r="CO100" s="304">
        <f t="shared" si="60"/>
        <v>35.711429457474836</v>
      </c>
      <c r="CP100" s="304">
        <f t="shared" si="61"/>
        <v>15.526708459771669</v>
      </c>
      <c r="CQ100" s="304">
        <f t="shared" si="62"/>
        <v>27.948075227589001</v>
      </c>
      <c r="CR100" s="304">
        <f t="shared" si="63"/>
        <v>15526.708459771673</v>
      </c>
      <c r="CS100" s="305">
        <f t="shared" si="70"/>
        <v>0</v>
      </c>
      <c r="CV100" s="267" t="s">
        <v>26</v>
      </c>
      <c r="CW100" s="267" t="s">
        <v>26</v>
      </c>
      <c r="CX100" s="267">
        <f>INDEX($M$86:$Z$100,MATCH($CW100,$L$86:$L$100,0),MATCH(CX$87,$M$87:$Z$87,0))/INDEX(고양시_재차인원!$D$4:$H$35,MATCH("고양시",고양시_재차인원!$B$4:$B$35,0),MATCH($CX$86,고양시_재차인원!$D$4:$H$4,0))</f>
        <v>753.25855673211106</v>
      </c>
      <c r="CY100" s="267">
        <f>INDEX($M$86:$Z$100,MATCH($CW100,$L$86:$L$100,0),MATCH(CY$87,$M$87:$Z$87,0))/INDEX(고양시_재차인원!$K$4:$O$20,MATCH("경기도",고양시_재차인원!$K$4:$K$20,0),MATCH($CY$87,고양시_재차인원!$K$4:$O$4,0))</f>
        <v>6.2308235521329573E-3</v>
      </c>
      <c r="CZ100" s="267">
        <f>INDEX($M$86:$Z$100,MATCH($CW100,$L$86:$L$100,0),MATCH(CZ$87,$M$87:$Z$87,0))/INDEX(고양시_재차인원!$K$4:$O$20,MATCH("경기도",고양시_재차인원!$K$4:$K$20,0),MATCH($CZ$87,고양시_재차인원!$K$4:$O$4,0))</f>
        <v>1.7321689474929618</v>
      </c>
      <c r="DA100" s="267">
        <f>INDEX($M$86:$Z$100,MATCH($CW100,$L$86:$L$100,0),MATCH(DA$87,$M$87:$Z$87,0))/INDEX(고양시_재차인원!$D$4:$H$35,MATCH("고양시",고양시_재차인원!$B$4:$B$35,0),MATCH($CX$86,고양시_재차인원!$D$4:$H$4,0))</f>
        <v>48.369994499914434</v>
      </c>
      <c r="DB100" s="267">
        <f>INDEX($AA$86:$AN$100,MATCH($CW100,$L$86:$L$100,0),MATCH(DB$87,$AA$87:$AN$87,0))/INDEX(고양시_재차인원!$D$4:$H$35,MATCH("고양시",고양시_재차인원!$B$4:$B$35,0),MATCH($DB$86,고양시_재차인원!$D$4:$H$4,0))</f>
        <v>4330.2586037919073</v>
      </c>
      <c r="DC100" s="267">
        <f>INDEX($AA$86:$AN$100,MATCH($CW100,$L$86:$L$100,0),MATCH(DC$87,$AA$87:$AN$87,0))/INDEX(고양시_재차인원!$K$4:$O$20,MATCH("경기도",고양시_재차인원!$K$4:$K$20,0),MATCH(DC$87,고양시_재차인원!$K$4:$O$4,0))</f>
        <v>4.5093744759274641E-2</v>
      </c>
      <c r="DD100" s="267">
        <f>INDEX($AA$86:$AN$100,MATCH($CW100,$L$86:$L$100,0),MATCH(DD$87,$AA$87:$AN$87,0))/INDEX(고양시_재차인원!$K$4:$O$20,MATCH("경기도",고양시_재차인원!$K$4:$K$20,0),MATCH(DD$87,고양시_재차인원!$K$4:$O$4,0))</f>
        <v>12.53606104307835</v>
      </c>
      <c r="DE100" s="267">
        <f>INDEX($AA$86:$AN$100,MATCH($CW100,$L$86:$L$100,0),MATCH(DE$87,$AA$87:$AN$87,0))/INDEX(고양시_재차인원!$D$4:$H$35,MATCH("고양시",고양시_재차인원!$B$4:$B$35,0),MATCH($DB$86,고양시_재차인원!$D$4:$H$4,0))</f>
        <v>278.06466050290368</v>
      </c>
      <c r="DF100" s="267">
        <f>INDEX($AO$86:$BB$100,MATCH($CW100,$L$86:$L$100,0),MATCH(DF$87,$AO$87:$BB$87,0))/INDEX(고양시_재차인원!$D$4:$H$35,MATCH("고양시",고양시_재차인원!$B$4:$B$35,0),MATCH($DF$86,고양시_재차인원!$D$4:$H$4,0))</f>
        <v>269.43605162408352</v>
      </c>
      <c r="DG100" s="267">
        <f>INDEX($AO$86:$BB$100,MATCH($CW100,$L$86:$L$100,0),MATCH(DG$87,$AO$87:$BB$87,0))/INDEX(고양시_재차인원!$K$4:$O$20,MATCH("경기도",고양시_재차인원!$K$4:$K$20,0),MATCH(DG$87,고양시_재차인원!$K$4:$O$4,0))</f>
        <v>2.5869165204484229E-3</v>
      </c>
      <c r="DH100" s="267">
        <f>INDEX($AO$86:$BB$100,MATCH($CW100,$L$86:$L$100,0),MATCH(DH$87,$AO$87:$BB$87,0))/INDEX(고양시_재차인원!$K$4:$O$20,MATCH("경기도",고양시_재차인원!$K$4:$K$20,0),MATCH(DH$87,고양시_재차인원!$K$4:$O$4,0))</f>
        <v>0.71916279268466143</v>
      </c>
      <c r="DI100" s="267">
        <f>INDEX($AO$86:$BB$100,MATCH($CW100,$L$86:$L$100,0),MATCH(DI$87,$AO$87:$BB$87,0))/INDEX(고양시_재차인원!$D$4:$H$35,MATCH("고양시",고양시_재차인원!$B$4:$B$35,0),MATCH($DF$86,고양시_재차인원!$D$4:$H$4,0))</f>
        <v>17.301655877200343</v>
      </c>
      <c r="DJ100" s="267">
        <f>INDEX($BC$86:$BP$100,MATCH($CW100,$L$86:$L$100,0),MATCH(DJ$87,$BC$87:$BP$87,0))/INDEX(고양시_재차인원!$D$4:$H$35,MATCH("고양시",고양시_재차인원!$B$4:$B$35,0),MATCH($DJ$86,고양시_재차인원!$D$4:$H$4,0))</f>
        <v>0.4047393928658094</v>
      </c>
      <c r="DK100" s="267">
        <f>INDEX($BC$86:$BP$100,MATCH($CW100,$L$86:$L$100,0),MATCH(DK$87,$BC$87:$BP$87,0))/INDEX(고양시_재차인원!$K$4:$O$20,MATCH("경기도",고양시_재차인원!$K$4:$K$20,0),MATCH(DK$87,고양시_재차인원!$K$4:$O$4,0))</f>
        <v>4.0653481201389701E-6</v>
      </c>
      <c r="DL100" s="267">
        <f>INDEX($BC$86:$BP$100,MATCH($CW100,$L$86:$L$100,0),MATCH(DL$87,$BC$87:$BP$87,0))/INDEX(고양시_재차인원!$K$4:$O$20,MATCH("경기도",고양시_재차인원!$K$4:$K$20,0),MATCH(DL$87,고양시_재차인원!$K$4:$O$4,0))</f>
        <v>1.1301667773986337E-3</v>
      </c>
      <c r="DM100" s="267">
        <f>INDEX($BC$86:$BP$100,MATCH($CW100,$L$86:$L$100,0),MATCH(DM$87,$BC$87:$BP$87,0))/INDEX(고양시_재차인원!$D$4:$H$35,MATCH("고양시",고양시_재차인원!$B$4:$B$35,0),MATCH($DJ$86,고양시_재차인원!$D$4:$H$4,0))</f>
        <v>2.5990069454704327E-2</v>
      </c>
      <c r="DN100" s="267">
        <f>INDEX($BQ$86:$CD$100,MATCH($CW100,$L$86:$L$100,0),MATCH(DN$87,$BQ$87:$CD$87,0))/INDEX(고양시_재차인원!$D$4:$H$35,MATCH("고양시",고양시_재차인원!$B$4:$B$35,0),MATCH($DN$86,고양시_재차인원!$D$4:$H$4,0))</f>
        <v>1.6503659194104912</v>
      </c>
      <c r="DO100" s="267">
        <f>INDEX($BQ$86:$CD$100,MATCH($CW100,$L$86:$L$100,0),MATCH(DO$87,$BQ$87:$CD$87,0))/INDEX(고양시_재차인원!$K$4:$O$20,MATCH("경기도",고양시_재차인원!$K$4:$K$20,0),MATCH(DO$87,고양시_재차인원!$K$4:$O$4,0))</f>
        <v>1.5357981787191614E-5</v>
      </c>
      <c r="DP100" s="267">
        <f>INDEX($BQ$86:$CD$100,MATCH($CW100,$L$86:$L$100,0),MATCH(DP$87,$BQ$87:$CD$87,0))/INDEX(고양시_재차인원!$K$4:$O$20,MATCH("경기도",고양시_재차인원!$K$4:$K$20,0),MATCH(DP$87,고양시_재차인원!$K$4:$O$4,0))</f>
        <v>4.2695189368392684E-3</v>
      </c>
      <c r="DQ100" s="267">
        <f>INDEX($BQ$86:$CD$100,MATCH($CW100,$L$86:$L$100,0),MATCH(DQ$87,$BQ$87:$CD$87,0))/INDEX(고양시_재차인원!$D$4:$H$35,MATCH("고양시",고양시_재차인원!$B$4:$B$35,0),MATCH($DN$86,고양시_재차인원!$D$4:$H$4,0))</f>
        <v>0.10597714387879402</v>
      </c>
      <c r="DR100" s="270">
        <f t="shared" si="71"/>
        <v>5355.0083174603778</v>
      </c>
      <c r="DS100" s="270">
        <f t="shared" si="64"/>
        <v>5.3930908161763352E-2</v>
      </c>
      <c r="DT100" s="270">
        <f t="shared" si="65"/>
        <v>14.992792468970212</v>
      </c>
      <c r="DU100" s="270">
        <f t="shared" si="66"/>
        <v>343.86827809335193</v>
      </c>
      <c r="DW100" s="278" t="s">
        <v>26</v>
      </c>
      <c r="DX100" s="278" t="s">
        <v>26</v>
      </c>
      <c r="DY100" s="281">
        <f t="shared" si="72"/>
        <v>5698.8765955537301</v>
      </c>
      <c r="DZ100" s="281">
        <f t="shared" si="73"/>
        <v>15.046723377131975</v>
      </c>
      <c r="ED100" s="230" t="b">
        <f>SUM(ED88:ED98)=ED99</f>
        <v>1</v>
      </c>
      <c r="EE100" s="230" t="b">
        <f>SUM(EE88:EE98)=EE99</f>
        <v>1</v>
      </c>
      <c r="EK100" s="420" t="s">
        <v>169</v>
      </c>
      <c r="EL100" s="420" t="s">
        <v>169</v>
      </c>
      <c r="EM100" s="420" t="s">
        <v>575</v>
      </c>
      <c r="EN100" s="420">
        <v>5756.5210999999999</v>
      </c>
      <c r="EO100" s="420">
        <v>0.34334776653141269</v>
      </c>
      <c r="EP100" s="421">
        <v>849013</v>
      </c>
      <c r="EQ100" s="422">
        <f t="shared" si="75"/>
        <v>133.01410381981984</v>
      </c>
      <c r="ER100" s="422">
        <f t="shared" si="76"/>
        <v>0.35119665988125764</v>
      </c>
      <c r="ES100">
        <v>0</v>
      </c>
      <c r="EU100" s="306" t="s">
        <v>169</v>
      </c>
      <c r="EV100" s="306" t="s">
        <v>169</v>
      </c>
      <c r="EW100" s="306" t="s">
        <v>575</v>
      </c>
      <c r="EX100" s="306">
        <v>5756.5210999999999</v>
      </c>
      <c r="EY100" s="306">
        <v>0.34334776653141269</v>
      </c>
      <c r="EZ100" s="307">
        <v>849013</v>
      </c>
      <c r="FA100" s="308">
        <f t="shared" si="77"/>
        <v>133.01410381981984</v>
      </c>
      <c r="FB100" s="308">
        <f t="shared" si="68"/>
        <v>0.35119665988125764</v>
      </c>
      <c r="FD100" s="101"/>
      <c r="FE100" s="101"/>
      <c r="FF100" s="101"/>
      <c r="FG100" s="101"/>
      <c r="FH100" s="101"/>
      <c r="FI100" s="374"/>
      <c r="FJ100" s="404"/>
      <c r="FK100" s="404"/>
    </row>
    <row r="101" spans="1:167">
      <c r="C101" s="56">
        <f t="shared" ref="C101:H101" si="82">SUM(C88:C99)-C100</f>
        <v>0</v>
      </c>
      <c r="D101" s="56">
        <f t="shared" si="82"/>
        <v>0</v>
      </c>
      <c r="E101" s="56">
        <f t="shared" si="82"/>
        <v>0</v>
      </c>
      <c r="F101" s="56">
        <f t="shared" si="82"/>
        <v>0</v>
      </c>
      <c r="G101" s="56">
        <f t="shared" si="82"/>
        <v>0</v>
      </c>
      <c r="H101" s="56">
        <f t="shared" si="82"/>
        <v>0</v>
      </c>
      <c r="I101" s="56"/>
      <c r="J101" s="56"/>
      <c r="K101" s="56"/>
      <c r="L101" s="56"/>
      <c r="M101" s="56"/>
      <c r="P101" s="56"/>
      <c r="Q101" s="56"/>
      <c r="R101" s="56"/>
      <c r="S101" s="56"/>
      <c r="T101" s="301"/>
      <c r="U101" s="301"/>
      <c r="V101" s="302"/>
      <c r="W101" s="56"/>
      <c r="X101" s="56"/>
      <c r="EK101" s="420" t="s">
        <v>169</v>
      </c>
      <c r="EL101" s="420" t="s">
        <v>169</v>
      </c>
      <c r="EM101" s="420" t="s">
        <v>576</v>
      </c>
      <c r="EN101" s="420">
        <v>5584.9350000000004</v>
      </c>
      <c r="EO101" s="420">
        <v>0.33311351164388425</v>
      </c>
      <c r="EP101" s="421">
        <v>849014</v>
      </c>
      <c r="EQ101" s="422">
        <f t="shared" si="75"/>
        <v>129.04931833168223</v>
      </c>
      <c r="ER101" s="422">
        <f t="shared" si="76"/>
        <v>0.34072845101773913</v>
      </c>
      <c r="ES101">
        <v>0</v>
      </c>
      <c r="EU101" s="306" t="s">
        <v>169</v>
      </c>
      <c r="EV101" s="306" t="s">
        <v>169</v>
      </c>
      <c r="EW101" s="306" t="s">
        <v>576</v>
      </c>
      <c r="EX101" s="306">
        <v>5584.9350000000004</v>
      </c>
      <c r="EY101" s="306">
        <v>0.33311351164388425</v>
      </c>
      <c r="EZ101" s="307">
        <v>849014</v>
      </c>
      <c r="FA101" s="308">
        <f t="shared" si="77"/>
        <v>129.04931833168223</v>
      </c>
      <c r="FB101" s="308">
        <f t="shared" si="68"/>
        <v>0.34072845101773913</v>
      </c>
      <c r="FD101" s="101"/>
      <c r="FE101" s="101"/>
      <c r="FF101" s="101"/>
      <c r="FG101" s="101"/>
      <c r="FH101" s="101"/>
      <c r="FI101" s="374"/>
      <c r="FJ101" s="404"/>
      <c r="FK101" s="404"/>
    </row>
    <row r="102" spans="1:167">
      <c r="C102" s="56"/>
      <c r="D102" s="56"/>
      <c r="E102" s="56"/>
      <c r="F102" s="56"/>
      <c r="G102" s="56"/>
      <c r="H102" s="56"/>
      <c r="I102" s="56"/>
      <c r="J102" s="56"/>
      <c r="K102" s="56"/>
      <c r="L102" s="56"/>
      <c r="M102" s="56"/>
      <c r="P102" s="56"/>
      <c r="Q102" s="56"/>
      <c r="R102" s="56"/>
      <c r="S102" s="56"/>
      <c r="T102" s="301"/>
      <c r="U102" s="301"/>
      <c r="V102" s="302"/>
      <c r="W102" s="56"/>
      <c r="X102" s="56"/>
      <c r="EK102" s="420" t="s">
        <v>169</v>
      </c>
      <c r="EL102" s="420" t="s">
        <v>169</v>
      </c>
      <c r="EM102" s="420" t="s">
        <v>382</v>
      </c>
      <c r="EN102" s="420">
        <v>5424.4053999999996</v>
      </c>
      <c r="EO102" s="420">
        <v>0.32353872182470311</v>
      </c>
      <c r="EP102" s="421">
        <v>849015</v>
      </c>
      <c r="EQ102" s="422">
        <f t="shared" si="75"/>
        <v>125.34001187564331</v>
      </c>
      <c r="ER102" s="422">
        <f t="shared" si="76"/>
        <v>0.33093478252374636</v>
      </c>
      <c r="ES102">
        <v>0</v>
      </c>
      <c r="EU102" s="306" t="s">
        <v>169</v>
      </c>
      <c r="EV102" s="306" t="s">
        <v>169</v>
      </c>
      <c r="EW102" s="306" t="s">
        <v>382</v>
      </c>
      <c r="EX102" s="306">
        <v>5424.4053999999996</v>
      </c>
      <c r="EY102" s="306">
        <v>0.32353872182470311</v>
      </c>
      <c r="EZ102" s="307">
        <v>849015</v>
      </c>
      <c r="FA102" s="308">
        <f t="shared" si="77"/>
        <v>125.34001187564331</v>
      </c>
      <c r="FB102" s="308">
        <f t="shared" si="68"/>
        <v>0.33093478252374636</v>
      </c>
      <c r="FD102" s="101"/>
      <c r="FE102" s="101"/>
      <c r="FF102" s="101"/>
      <c r="FG102" s="101"/>
      <c r="FH102" s="101"/>
      <c r="FI102" s="374"/>
      <c r="FJ102" s="404"/>
      <c r="FK102" s="404"/>
    </row>
    <row r="103" spans="1:167">
      <c r="C103" s="56"/>
      <c r="D103" s="56"/>
      <c r="E103" s="56"/>
      <c r="F103" s="56"/>
      <c r="G103" s="56"/>
      <c r="H103" s="56"/>
      <c r="I103" s="56"/>
      <c r="J103" s="56"/>
      <c r="K103" s="56"/>
      <c r="L103" s="56"/>
      <c r="M103" s="56"/>
      <c r="P103" s="56"/>
      <c r="Q103" s="56"/>
      <c r="R103" s="56"/>
      <c r="S103" s="56"/>
      <c r="T103" s="301"/>
      <c r="U103" s="301"/>
      <c r="V103" s="302"/>
      <c r="W103" s="56"/>
      <c r="X103" s="56"/>
      <c r="EK103" s="420" t="s">
        <v>170</v>
      </c>
      <c r="EL103" s="420" t="s">
        <v>170</v>
      </c>
      <c r="EM103" s="420" t="s">
        <v>577</v>
      </c>
      <c r="EN103" s="420">
        <v>28051.338899999999</v>
      </c>
      <c r="EO103" s="420">
        <v>1</v>
      </c>
      <c r="EP103" s="421">
        <v>849016</v>
      </c>
      <c r="EQ103" s="422">
        <f t="shared" si="75"/>
        <v>320.40513752340797</v>
      </c>
      <c r="ER103" s="422">
        <f t="shared" si="76"/>
        <v>0.84596453214797374</v>
      </c>
      <c r="ES103">
        <v>0</v>
      </c>
      <c r="EU103" s="306" t="s">
        <v>170</v>
      </c>
      <c r="EV103" s="306" t="s">
        <v>170</v>
      </c>
      <c r="EW103" s="306" t="s">
        <v>577</v>
      </c>
      <c r="EX103" s="306">
        <v>28051.338899999999</v>
      </c>
      <c r="EY103" s="306">
        <v>1</v>
      </c>
      <c r="EZ103" s="307">
        <v>849016</v>
      </c>
      <c r="FA103" s="308">
        <f t="shared" si="77"/>
        <v>320.40513752340797</v>
      </c>
      <c r="FB103" s="308">
        <f t="shared" si="68"/>
        <v>0.84596453214797374</v>
      </c>
      <c r="FD103" s="101"/>
      <c r="FE103" s="101"/>
      <c r="FF103" s="101"/>
      <c r="FG103" s="101"/>
      <c r="FH103" s="101"/>
      <c r="FI103" s="374"/>
      <c r="FJ103" s="404"/>
      <c r="FK103" s="404"/>
    </row>
    <row r="104" spans="1:167">
      <c r="C104" s="56"/>
      <c r="D104" s="56"/>
      <c r="E104" s="56"/>
      <c r="F104" s="56"/>
      <c r="G104" s="56"/>
      <c r="H104" s="56"/>
      <c r="I104" s="56"/>
      <c r="J104" s="56"/>
      <c r="K104" s="56"/>
      <c r="L104" s="56"/>
      <c r="M104" s="56"/>
      <c r="P104" s="56"/>
      <c r="Q104" s="56"/>
      <c r="R104" s="56"/>
      <c r="S104" s="56"/>
      <c r="T104" s="301"/>
      <c r="U104" s="301"/>
      <c r="V104" s="302"/>
      <c r="W104" s="56"/>
      <c r="X104" s="56"/>
      <c r="EK104" s="420" t="s">
        <v>171</v>
      </c>
      <c r="EL104" s="420" t="s">
        <v>171</v>
      </c>
      <c r="EM104" s="420" t="s">
        <v>579</v>
      </c>
      <c r="EN104" s="420">
        <v>15650.840399999999</v>
      </c>
      <c r="EO104" s="420">
        <v>0.80490868986400721</v>
      </c>
      <c r="EP104" s="421">
        <v>849017</v>
      </c>
      <c r="EQ104" s="422">
        <f t="shared" si="75"/>
        <v>10.357875721279626</v>
      </c>
      <c r="ER104" s="422">
        <f t="shared" si="76"/>
        <v>2.7347862010979829E-2</v>
      </c>
      <c r="ES104">
        <v>0</v>
      </c>
      <c r="EU104" s="306" t="s">
        <v>171</v>
      </c>
      <c r="EV104" s="306" t="s">
        <v>171</v>
      </c>
      <c r="EW104" s="306" t="s">
        <v>579</v>
      </c>
      <c r="EX104" s="306">
        <v>15650.840399999999</v>
      </c>
      <c r="EY104" s="306">
        <v>0.80490868986400721</v>
      </c>
      <c r="EZ104" s="307">
        <v>849017</v>
      </c>
      <c r="FA104" s="308">
        <f t="shared" si="77"/>
        <v>10.357875721279626</v>
      </c>
      <c r="FB104" s="308">
        <f t="shared" si="68"/>
        <v>2.7347862010979829E-2</v>
      </c>
      <c r="FD104" s="101"/>
      <c r="FE104" s="101"/>
      <c r="FF104" s="101"/>
      <c r="FG104" s="101"/>
      <c r="FH104" s="101"/>
      <c r="FI104" s="374"/>
      <c r="FJ104" s="404"/>
      <c r="FK104" s="404"/>
    </row>
    <row r="105" spans="1:167">
      <c r="C105" s="56"/>
      <c r="D105" s="56"/>
      <c r="E105" s="56"/>
      <c r="F105" s="56"/>
      <c r="G105" s="56"/>
      <c r="H105" s="56"/>
      <c r="I105" s="56"/>
      <c r="J105" s="56"/>
      <c r="K105" s="56"/>
      <c r="L105" s="56"/>
      <c r="M105" s="56"/>
      <c r="P105" s="56"/>
      <c r="Q105" s="56"/>
      <c r="R105" s="56"/>
      <c r="S105" s="56"/>
      <c r="T105" s="301"/>
      <c r="U105" s="301"/>
      <c r="V105" s="302"/>
      <c r="W105" s="56"/>
      <c r="X105" s="56"/>
      <c r="EK105" s="420" t="s">
        <v>171</v>
      </c>
      <c r="EL105" s="420" t="s">
        <v>171</v>
      </c>
      <c r="EM105" s="420" t="s">
        <v>580</v>
      </c>
      <c r="EN105" s="420">
        <v>3793.4029</v>
      </c>
      <c r="EO105" s="420">
        <v>0.19509131013599282</v>
      </c>
      <c r="EP105" s="421">
        <v>849018</v>
      </c>
      <c r="EQ105" s="422">
        <f t="shared" si="75"/>
        <v>2.5105102853736678</v>
      </c>
      <c r="ER105" s="422">
        <f t="shared" si="76"/>
        <v>6.6284912764972498E-3</v>
      </c>
      <c r="ES105">
        <v>0</v>
      </c>
      <c r="EU105" s="306" t="s">
        <v>171</v>
      </c>
      <c r="EV105" s="306" t="s">
        <v>171</v>
      </c>
      <c r="EW105" s="306" t="s">
        <v>580</v>
      </c>
      <c r="EX105" s="306">
        <v>3793.4029</v>
      </c>
      <c r="EY105" s="306">
        <v>0.19509131013599282</v>
      </c>
      <c r="EZ105" s="307">
        <v>849018</v>
      </c>
      <c r="FA105" s="308">
        <f t="shared" si="77"/>
        <v>2.5105102853736678</v>
      </c>
      <c r="FB105" s="308">
        <f t="shared" si="68"/>
        <v>6.6284912764972498E-3</v>
      </c>
      <c r="FD105" s="101"/>
      <c r="FE105" s="101"/>
      <c r="FF105" s="101"/>
      <c r="FG105" s="101"/>
      <c r="FH105" s="101"/>
      <c r="FI105" s="374"/>
      <c r="FJ105" s="404"/>
      <c r="FK105" s="404"/>
    </row>
    <row r="106" spans="1:167">
      <c r="C106" s="56"/>
      <c r="D106" s="56"/>
      <c r="E106" s="56"/>
      <c r="F106" s="56"/>
      <c r="G106" s="56"/>
      <c r="H106" s="56"/>
      <c r="I106" s="56"/>
      <c r="J106" s="56"/>
      <c r="K106" s="56"/>
      <c r="L106" s="56"/>
      <c r="M106" s="56"/>
      <c r="P106" s="56"/>
      <c r="Q106" s="56"/>
      <c r="R106" s="56"/>
      <c r="S106" s="56"/>
      <c r="T106" s="301"/>
      <c r="U106" s="301"/>
      <c r="V106" s="302"/>
      <c r="W106" s="56"/>
      <c r="X106" s="56"/>
      <c r="EK106" s="420" t="s">
        <v>13</v>
      </c>
      <c r="EL106" s="420" t="s">
        <v>13</v>
      </c>
      <c r="EM106" s="420" t="s">
        <v>582</v>
      </c>
      <c r="EN106" s="420">
        <v>2617.3850000000002</v>
      </c>
      <c r="EO106" s="420">
        <v>0.44699524620375919</v>
      </c>
      <c r="EP106" s="421">
        <v>849019</v>
      </c>
      <c r="EQ106" s="422">
        <f t="shared" si="75"/>
        <v>45.101750979425098</v>
      </c>
      <c r="ER106" s="422">
        <f t="shared" si="76"/>
        <v>0.11908199088591798</v>
      </c>
      <c r="ES106">
        <v>0</v>
      </c>
      <c r="EU106" s="306" t="s">
        <v>13</v>
      </c>
      <c r="EV106" s="306" t="s">
        <v>13</v>
      </c>
      <c r="EW106" s="306" t="s">
        <v>582</v>
      </c>
      <c r="EX106" s="306">
        <v>2617.3850000000002</v>
      </c>
      <c r="EY106" s="306">
        <v>0.44699524620375919</v>
      </c>
      <c r="EZ106" s="307">
        <v>849019</v>
      </c>
      <c r="FA106" s="308">
        <f t="shared" si="77"/>
        <v>45.101750979425098</v>
      </c>
      <c r="FB106" s="308">
        <f t="shared" si="68"/>
        <v>0.11908199088591798</v>
      </c>
      <c r="FD106" s="101"/>
      <c r="FE106" s="101"/>
      <c r="FF106" s="101"/>
      <c r="FG106" s="101"/>
      <c r="FH106" s="101"/>
      <c r="FI106" s="374"/>
      <c r="FJ106" s="404"/>
      <c r="FK106" s="404"/>
    </row>
    <row r="107" spans="1:167">
      <c r="C107" s="56"/>
      <c r="D107" s="56"/>
      <c r="E107" s="56"/>
      <c r="F107" s="56"/>
      <c r="G107" s="56"/>
      <c r="H107" s="56"/>
      <c r="I107" s="56"/>
      <c r="J107" s="56"/>
      <c r="K107" s="56"/>
      <c r="L107" s="56"/>
      <c r="M107" s="56"/>
      <c r="P107" s="56"/>
      <c r="Q107" s="56"/>
      <c r="R107" s="56"/>
      <c r="S107" s="56"/>
      <c r="T107" s="301"/>
      <c r="U107" s="301"/>
      <c r="V107" s="302"/>
      <c r="W107" s="56"/>
      <c r="X107" s="56"/>
      <c r="EK107" s="420" t="s">
        <v>13</v>
      </c>
      <c r="EL107" s="420" t="s">
        <v>13</v>
      </c>
      <c r="EM107" s="420" t="s">
        <v>583</v>
      </c>
      <c r="EN107" s="420">
        <v>3238.1246999999998</v>
      </c>
      <c r="EO107" s="420">
        <v>0.5530047537962407</v>
      </c>
      <c r="EP107" s="421">
        <v>849020</v>
      </c>
      <c r="EQ107" s="422">
        <f t="shared" si="75"/>
        <v>55.798093845470028</v>
      </c>
      <c r="ER107" s="422">
        <f t="shared" si="76"/>
        <v>0.1473235064817999</v>
      </c>
      <c r="ES107">
        <v>0</v>
      </c>
      <c r="EU107" s="306" t="s">
        <v>13</v>
      </c>
      <c r="EV107" s="306" t="s">
        <v>13</v>
      </c>
      <c r="EW107" s="306" t="s">
        <v>583</v>
      </c>
      <c r="EX107" s="306">
        <v>3238.1246999999998</v>
      </c>
      <c r="EY107" s="306">
        <v>0.5530047537962407</v>
      </c>
      <c r="EZ107" s="307">
        <v>849020</v>
      </c>
      <c r="FA107" s="308">
        <f t="shared" si="77"/>
        <v>55.798093845470028</v>
      </c>
      <c r="FB107" s="308">
        <f t="shared" si="68"/>
        <v>0.1473235064817999</v>
      </c>
      <c r="FD107" s="101"/>
      <c r="FE107" s="101"/>
      <c r="FF107" s="101"/>
      <c r="FG107" s="101"/>
      <c r="FH107" s="101"/>
      <c r="FI107" s="374"/>
      <c r="FJ107" s="404"/>
      <c r="FK107" s="404"/>
    </row>
    <row r="108" spans="1:167">
      <c r="C108" s="56"/>
      <c r="D108" s="56"/>
      <c r="E108" s="56"/>
      <c r="F108" s="56"/>
      <c r="G108" s="56"/>
      <c r="H108" s="56"/>
      <c r="I108" s="56"/>
      <c r="J108" s="56"/>
      <c r="K108" s="56"/>
      <c r="L108" s="56"/>
      <c r="M108" s="56"/>
      <c r="P108" s="56"/>
      <c r="Q108" s="56"/>
      <c r="R108" s="56"/>
      <c r="S108" s="56"/>
      <c r="T108" s="301"/>
      <c r="U108" s="301"/>
      <c r="V108" s="302"/>
      <c r="W108" s="56"/>
      <c r="X108" s="56"/>
      <c r="EQ108" s="310">
        <f>SUM(EQ88:EQ107)</f>
        <v>5536.4586125804481</v>
      </c>
      <c r="ER108" s="310">
        <f>SUM(ER88:ER107)</f>
        <v>14.617891760883715</v>
      </c>
      <c r="FA108" s="310"/>
      <c r="FB108" s="310"/>
      <c r="FJ108" s="310"/>
      <c r="FK108" s="310"/>
    </row>
    <row r="109" spans="1:167">
      <c r="C109" s="56"/>
      <c r="D109" s="56"/>
      <c r="E109" s="56"/>
      <c r="F109" s="56"/>
      <c r="G109" s="56"/>
      <c r="H109" s="56"/>
      <c r="I109" s="56"/>
      <c r="J109" s="56"/>
      <c r="K109" s="56"/>
      <c r="L109" s="56"/>
      <c r="M109" s="56"/>
      <c r="P109" s="56"/>
      <c r="Q109" s="56"/>
      <c r="R109" s="56"/>
      <c r="S109" s="56"/>
      <c r="T109" s="301"/>
      <c r="U109" s="301"/>
      <c r="V109" s="302"/>
      <c r="W109" s="56"/>
      <c r="X109" s="56"/>
    </row>
    <row r="110" spans="1:167">
      <c r="C110" s="56"/>
      <c r="D110" s="56"/>
      <c r="E110" s="56"/>
      <c r="F110" s="56"/>
      <c r="G110" s="56"/>
      <c r="H110" s="56"/>
      <c r="I110" s="56"/>
      <c r="J110" s="56"/>
      <c r="K110" s="56"/>
      <c r="L110" s="56"/>
      <c r="M110" s="56"/>
      <c r="P110" s="56"/>
      <c r="Q110" s="56"/>
      <c r="R110" s="56"/>
      <c r="S110" s="56"/>
      <c r="T110" s="301"/>
      <c r="U110" s="301"/>
      <c r="V110" s="302"/>
      <c r="W110" s="56"/>
      <c r="X110" s="56"/>
    </row>
    <row r="111" spans="1:167">
      <c r="C111" s="56"/>
      <c r="D111" s="56"/>
      <c r="E111" s="56"/>
      <c r="F111" s="56"/>
      <c r="G111" s="56"/>
      <c r="H111" s="56"/>
      <c r="I111" s="56"/>
      <c r="J111" s="56"/>
      <c r="K111" s="56"/>
      <c r="L111" s="56"/>
      <c r="M111" s="56"/>
      <c r="P111" s="56"/>
      <c r="Q111" s="56"/>
      <c r="R111" s="56"/>
      <c r="S111" s="56"/>
      <c r="T111" s="301"/>
      <c r="U111" s="301"/>
      <c r="V111" s="302"/>
      <c r="W111" s="56"/>
      <c r="X111" s="56"/>
    </row>
    <row r="112" spans="1:167">
      <c r="C112" s="56"/>
      <c r="D112" s="56"/>
      <c r="E112" s="56"/>
      <c r="F112" s="56"/>
      <c r="G112" s="56"/>
      <c r="H112" s="56"/>
      <c r="I112" s="56"/>
      <c r="J112" s="56"/>
      <c r="K112" s="56"/>
      <c r="L112" s="56"/>
      <c r="M112" s="56"/>
      <c r="P112" s="56"/>
      <c r="Q112" s="56"/>
      <c r="R112" s="56"/>
      <c r="S112" s="56"/>
      <c r="T112" s="301"/>
      <c r="U112" s="301"/>
      <c r="V112" s="302"/>
      <c r="W112" s="56"/>
      <c r="X112" s="56"/>
    </row>
    <row r="113" spans="1:40">
      <c r="C113" s="56"/>
      <c r="D113" s="56"/>
      <c r="E113" s="56"/>
      <c r="F113" s="56"/>
      <c r="G113" s="56"/>
      <c r="H113" s="56"/>
      <c r="I113" s="56"/>
      <c r="J113" s="56"/>
      <c r="K113" s="56"/>
      <c r="L113" s="56"/>
      <c r="M113" s="56"/>
      <c r="P113" s="56"/>
      <c r="Q113" s="56"/>
      <c r="R113" s="56"/>
      <c r="S113" s="56"/>
      <c r="T113" s="301"/>
      <c r="U113" s="301"/>
      <c r="V113" s="302"/>
      <c r="W113" s="56"/>
      <c r="X113" s="56"/>
    </row>
    <row r="114" spans="1:40">
      <c r="C114" s="56"/>
      <c r="D114" s="56"/>
      <c r="E114" s="56"/>
      <c r="F114" s="56"/>
      <c r="G114" s="56"/>
      <c r="H114" s="56"/>
      <c r="I114" s="56"/>
      <c r="J114" s="56"/>
      <c r="K114" s="56"/>
      <c r="L114" s="56"/>
      <c r="M114" s="56"/>
      <c r="P114" s="56"/>
      <c r="Q114" s="56"/>
      <c r="R114" s="56"/>
      <c r="S114" s="56"/>
      <c r="T114" s="301"/>
      <c r="U114" s="301"/>
      <c r="V114" s="302"/>
      <c r="W114" s="56"/>
      <c r="X114" s="56"/>
    </row>
    <row r="116" spans="1:40">
      <c r="A116" t="s">
        <v>203</v>
      </c>
      <c r="L116" s="65" t="s">
        <v>204</v>
      </c>
    </row>
    <row r="117" spans="1:40">
      <c r="C117" s="550" t="s">
        <v>156</v>
      </c>
      <c r="D117" s="551"/>
      <c r="E117" s="550" t="s">
        <v>157</v>
      </c>
      <c r="F117" s="551"/>
      <c r="G117" s="550" t="s">
        <v>158</v>
      </c>
      <c r="H117" s="551"/>
      <c r="I117" s="550" t="s">
        <v>159</v>
      </c>
      <c r="J117" s="551"/>
      <c r="K117" s="550" t="s">
        <v>160</v>
      </c>
      <c r="L117" s="552"/>
      <c r="M117" s="552"/>
      <c r="P117" s="534" t="s">
        <v>156</v>
      </c>
      <c r="Q117" s="534"/>
      <c r="R117" s="534" t="s">
        <v>174</v>
      </c>
      <c r="S117" s="534"/>
      <c r="T117" s="550" t="s">
        <v>158</v>
      </c>
      <c r="U117" s="551"/>
      <c r="V117" s="534" t="s">
        <v>160</v>
      </c>
      <c r="W117" s="534"/>
      <c r="X117" s="534"/>
    </row>
    <row r="118" spans="1:40">
      <c r="A118" t="s">
        <v>205</v>
      </c>
      <c r="C118" s="66" t="s">
        <v>40</v>
      </c>
      <c r="D118" s="66" t="s">
        <v>41</v>
      </c>
      <c r="E118" s="66" t="s">
        <v>40</v>
      </c>
      <c r="F118" s="66" t="s">
        <v>41</v>
      </c>
      <c r="G118" s="66" t="s">
        <v>40</v>
      </c>
      <c r="H118" s="66" t="s">
        <v>41</v>
      </c>
      <c r="I118" s="66" t="s">
        <v>40</v>
      </c>
      <c r="J118" s="66" t="s">
        <v>41</v>
      </c>
      <c r="K118" s="66" t="s">
        <v>40</v>
      </c>
      <c r="L118" s="66" t="s">
        <v>41</v>
      </c>
      <c r="M118" s="67" t="s">
        <v>21</v>
      </c>
      <c r="P118" s="276" t="s">
        <v>40</v>
      </c>
      <c r="Q118" s="276" t="s">
        <v>41</v>
      </c>
      <c r="R118" s="276" t="s">
        <v>40</v>
      </c>
      <c r="S118" s="276" t="s">
        <v>41</v>
      </c>
      <c r="T118" s="66" t="s">
        <v>40</v>
      </c>
      <c r="U118" s="66" t="s">
        <v>41</v>
      </c>
      <c r="V118" s="276" t="s">
        <v>40</v>
      </c>
      <c r="W118" s="276" t="s">
        <v>41</v>
      </c>
      <c r="X118" s="276" t="s">
        <v>21</v>
      </c>
    </row>
    <row r="119" spans="1:40">
      <c r="A119" t="s">
        <v>136</v>
      </c>
      <c r="C119" s="68">
        <v>1113</v>
      </c>
      <c r="D119" s="68">
        <v>1113</v>
      </c>
      <c r="E119" s="69">
        <v>149</v>
      </c>
      <c r="F119" s="69">
        <v>149</v>
      </c>
      <c r="G119" s="69">
        <v>902</v>
      </c>
      <c r="H119" s="69">
        <v>902</v>
      </c>
      <c r="I119" s="68">
        <v>1831</v>
      </c>
      <c r="J119" s="68">
        <v>1831</v>
      </c>
      <c r="K119" s="68">
        <v>3995</v>
      </c>
      <c r="L119" s="68">
        <v>3995</v>
      </c>
      <c r="M119" s="68">
        <v>7990</v>
      </c>
      <c r="P119" s="69">
        <v>704</v>
      </c>
      <c r="Q119" s="69">
        <v>704</v>
      </c>
      <c r="R119" s="69">
        <v>105</v>
      </c>
      <c r="S119" s="69">
        <v>105</v>
      </c>
      <c r="T119" s="74">
        <f t="shared" ref="T119:U125" si="83">G119/$H$8</f>
        <v>77.89291882556131</v>
      </c>
      <c r="U119" s="74">
        <f t="shared" si="83"/>
        <v>77.89291882556131</v>
      </c>
      <c r="V119" s="69">
        <v>809</v>
      </c>
      <c r="W119" s="69">
        <v>809</v>
      </c>
      <c r="X119" s="68">
        <v>1618</v>
      </c>
    </row>
    <row r="120" spans="1:40">
      <c r="A120" t="s">
        <v>206</v>
      </c>
      <c r="C120" s="68">
        <v>3252</v>
      </c>
      <c r="D120" s="68">
        <v>3252</v>
      </c>
      <c r="E120" s="69">
        <v>634</v>
      </c>
      <c r="F120" s="69">
        <v>634</v>
      </c>
      <c r="G120" s="68">
        <v>4005</v>
      </c>
      <c r="H120" s="68">
        <v>4005</v>
      </c>
      <c r="I120" s="68">
        <v>1525</v>
      </c>
      <c r="J120" s="68">
        <v>1525</v>
      </c>
      <c r="K120" s="68">
        <v>9416</v>
      </c>
      <c r="L120" s="68">
        <v>9416</v>
      </c>
      <c r="M120" s="68">
        <v>18832</v>
      </c>
      <c r="P120" s="68">
        <v>2258</v>
      </c>
      <c r="Q120" s="68">
        <v>2258</v>
      </c>
      <c r="R120" s="69">
        <v>459</v>
      </c>
      <c r="S120" s="69">
        <v>459</v>
      </c>
      <c r="T120" s="74">
        <f t="shared" si="83"/>
        <v>345.85492227979273</v>
      </c>
      <c r="U120" s="74">
        <f t="shared" si="83"/>
        <v>345.85492227979273</v>
      </c>
      <c r="V120" s="68">
        <v>2717</v>
      </c>
      <c r="W120" s="68">
        <v>2717</v>
      </c>
      <c r="X120" s="68">
        <v>5434</v>
      </c>
    </row>
    <row r="121" spans="1:40">
      <c r="A121" t="s">
        <v>207</v>
      </c>
      <c r="C121" s="68">
        <v>4405</v>
      </c>
      <c r="D121" s="68">
        <v>4405</v>
      </c>
      <c r="E121" s="69">
        <v>982</v>
      </c>
      <c r="F121" s="69">
        <v>982</v>
      </c>
      <c r="G121" s="68">
        <v>7338</v>
      </c>
      <c r="H121" s="68">
        <v>7338</v>
      </c>
      <c r="I121" s="68">
        <v>1053</v>
      </c>
      <c r="J121" s="68">
        <v>1053</v>
      </c>
      <c r="K121" s="68">
        <v>13778</v>
      </c>
      <c r="L121" s="68">
        <v>13778</v>
      </c>
      <c r="M121" s="68">
        <v>27556</v>
      </c>
      <c r="P121" s="68">
        <v>2942</v>
      </c>
      <c r="Q121" s="68">
        <v>2942</v>
      </c>
      <c r="R121" s="69">
        <v>905</v>
      </c>
      <c r="S121" s="69">
        <v>905</v>
      </c>
      <c r="T121" s="74">
        <f t="shared" si="83"/>
        <v>633.67875647668393</v>
      </c>
      <c r="U121" s="74">
        <f t="shared" si="83"/>
        <v>633.67875647668393</v>
      </c>
      <c r="V121" s="68">
        <v>3847</v>
      </c>
      <c r="W121" s="68">
        <v>3847</v>
      </c>
      <c r="X121" s="68">
        <v>7694</v>
      </c>
    </row>
    <row r="122" spans="1:40">
      <c r="A122" t="s">
        <v>208</v>
      </c>
      <c r="C122" s="68">
        <v>1194</v>
      </c>
      <c r="D122" s="68">
        <v>1194</v>
      </c>
      <c r="E122" s="69">
        <v>324</v>
      </c>
      <c r="F122" s="69">
        <v>324</v>
      </c>
      <c r="G122" s="68">
        <v>1204</v>
      </c>
      <c r="H122" s="68">
        <v>1204</v>
      </c>
      <c r="I122" s="69">
        <v>676</v>
      </c>
      <c r="J122" s="69">
        <v>676</v>
      </c>
      <c r="K122" s="68">
        <v>3398</v>
      </c>
      <c r="L122" s="68">
        <v>3398</v>
      </c>
      <c r="M122" s="68">
        <v>6796</v>
      </c>
      <c r="P122" s="69">
        <v>852</v>
      </c>
      <c r="Q122" s="69">
        <v>852</v>
      </c>
      <c r="R122" s="69">
        <v>278</v>
      </c>
      <c r="S122" s="69">
        <v>278</v>
      </c>
      <c r="T122" s="74">
        <f t="shared" si="83"/>
        <v>103.97236614853195</v>
      </c>
      <c r="U122" s="74">
        <f t="shared" si="83"/>
        <v>103.97236614853195</v>
      </c>
      <c r="V122" s="68">
        <v>1130</v>
      </c>
      <c r="W122" s="68">
        <v>1130</v>
      </c>
      <c r="X122" s="68">
        <v>2260</v>
      </c>
      <c r="AK122" s="447" t="s">
        <v>279</v>
      </c>
      <c r="AL122" s="447"/>
      <c r="AM122" s="447"/>
      <c r="AN122" s="447"/>
    </row>
    <row r="123" spans="1:40">
      <c r="A123" t="s">
        <v>209</v>
      </c>
      <c r="C123" s="68">
        <v>2353</v>
      </c>
      <c r="D123" s="68">
        <v>2353</v>
      </c>
      <c r="E123" s="69">
        <v>560</v>
      </c>
      <c r="F123" s="69">
        <v>560</v>
      </c>
      <c r="G123" s="68">
        <v>2525</v>
      </c>
      <c r="H123" s="68">
        <v>2525</v>
      </c>
      <c r="I123" s="68">
        <v>2539</v>
      </c>
      <c r="J123" s="68">
        <v>2539</v>
      </c>
      <c r="K123" s="68">
        <v>7977</v>
      </c>
      <c r="L123" s="68">
        <v>7977</v>
      </c>
      <c r="M123" s="68">
        <v>15954</v>
      </c>
      <c r="P123" s="68">
        <v>1671</v>
      </c>
      <c r="Q123" s="68">
        <v>1671</v>
      </c>
      <c r="R123" s="69">
        <v>452</v>
      </c>
      <c r="S123" s="69">
        <v>452</v>
      </c>
      <c r="T123" s="74">
        <f t="shared" si="83"/>
        <v>218.04835924006909</v>
      </c>
      <c r="U123" s="74">
        <f t="shared" si="83"/>
        <v>218.04835924006909</v>
      </c>
      <c r="V123" s="68">
        <v>2123</v>
      </c>
      <c r="W123" s="68">
        <v>2123</v>
      </c>
      <c r="X123" s="68">
        <v>4246</v>
      </c>
      <c r="AK123" t="s">
        <v>73</v>
      </c>
      <c r="AL123" t="s">
        <v>217</v>
      </c>
      <c r="AM123" t="s">
        <v>125</v>
      </c>
      <c r="AN123" t="s">
        <v>126</v>
      </c>
    </row>
    <row r="124" spans="1:40">
      <c r="A124" t="s">
        <v>210</v>
      </c>
      <c r="C124" s="68">
        <v>4287</v>
      </c>
      <c r="D124" s="68">
        <v>4287</v>
      </c>
      <c r="E124" s="68">
        <v>1040</v>
      </c>
      <c r="F124" s="68">
        <v>1040</v>
      </c>
      <c r="G124" s="68">
        <v>4743</v>
      </c>
      <c r="H124" s="68">
        <v>4743</v>
      </c>
      <c r="I124" s="68">
        <v>4771</v>
      </c>
      <c r="J124" s="68">
        <v>4771</v>
      </c>
      <c r="K124" s="68">
        <v>14841</v>
      </c>
      <c r="L124" s="68">
        <v>14841</v>
      </c>
      <c r="M124" s="68">
        <v>29682</v>
      </c>
      <c r="P124" s="68">
        <v>3021</v>
      </c>
      <c r="Q124" s="68">
        <v>3021</v>
      </c>
      <c r="R124" s="69">
        <v>820</v>
      </c>
      <c r="S124" s="69">
        <v>820</v>
      </c>
      <c r="T124" s="74">
        <f t="shared" si="83"/>
        <v>409.58549222797927</v>
      </c>
      <c r="U124" s="74">
        <f t="shared" si="83"/>
        <v>409.58549222797927</v>
      </c>
      <c r="V124" s="68">
        <v>3841</v>
      </c>
      <c r="W124" s="68">
        <v>3841</v>
      </c>
      <c r="X124" s="68">
        <v>7682</v>
      </c>
      <c r="AK124">
        <v>263.28750000000002</v>
      </c>
      <c r="AL124">
        <v>263.14999999999998</v>
      </c>
      <c r="AM124">
        <v>658.34339999999997</v>
      </c>
      <c r="AN124">
        <v>649.94010000000003</v>
      </c>
    </row>
    <row r="125" spans="1:40">
      <c r="A125" t="s">
        <v>211</v>
      </c>
      <c r="C125" s="69">
        <v>24</v>
      </c>
      <c r="D125" s="69">
        <v>24</v>
      </c>
      <c r="E125" s="69">
        <v>2</v>
      </c>
      <c r="F125" s="69">
        <v>2</v>
      </c>
      <c r="G125" s="69">
        <v>33</v>
      </c>
      <c r="H125" s="69">
        <v>33</v>
      </c>
      <c r="I125" s="69">
        <v>30</v>
      </c>
      <c r="J125" s="69">
        <v>30</v>
      </c>
      <c r="K125" s="69">
        <v>89</v>
      </c>
      <c r="L125" s="69">
        <v>89</v>
      </c>
      <c r="M125" s="69">
        <v>178</v>
      </c>
      <c r="P125" s="69">
        <v>19</v>
      </c>
      <c r="Q125" s="69">
        <v>19</v>
      </c>
      <c r="R125" s="69">
        <v>4</v>
      </c>
      <c r="S125" s="69">
        <v>4</v>
      </c>
      <c r="T125" s="74">
        <f t="shared" si="83"/>
        <v>2.849740932642487</v>
      </c>
      <c r="U125" s="74">
        <f t="shared" si="83"/>
        <v>2.849740932642487</v>
      </c>
      <c r="V125" s="69">
        <v>23</v>
      </c>
      <c r="W125" s="69">
        <v>23</v>
      </c>
      <c r="X125" s="69">
        <v>46</v>
      </c>
      <c r="AK125">
        <v>263.15710000000001</v>
      </c>
      <c r="AL125">
        <v>263.3263</v>
      </c>
      <c r="AM125">
        <v>652.92409999999995</v>
      </c>
      <c r="AN125">
        <v>649.42539999999997</v>
      </c>
    </row>
    <row r="126" spans="1:40">
      <c r="AK126">
        <v>263.78250000000003</v>
      </c>
      <c r="AL126">
        <v>263.52199999999999</v>
      </c>
      <c r="AM126">
        <v>655.89350000000002</v>
      </c>
      <c r="AN126">
        <v>647.83619999999996</v>
      </c>
    </row>
    <row r="127" spans="1:40">
      <c r="AK127">
        <v>264.4948</v>
      </c>
      <c r="AL127">
        <v>264.25319999999999</v>
      </c>
      <c r="AM127">
        <v>650.22400000000005</v>
      </c>
      <c r="AN127">
        <v>646.25300000000004</v>
      </c>
    </row>
    <row r="128" spans="1:40">
      <c r="AK128">
        <v>264.38010000000003</v>
      </c>
      <c r="AL128">
        <v>265.44740000000002</v>
      </c>
      <c r="AN128">
        <v>644.66999999999996</v>
      </c>
    </row>
    <row r="129" spans="27:38">
      <c r="AK129">
        <v>264.01859999999999</v>
      </c>
      <c r="AL129">
        <v>265.53899999999999</v>
      </c>
    </row>
    <row r="130" spans="27:38">
      <c r="AA130" s="32" t="s">
        <v>147</v>
      </c>
      <c r="AB130" s="32" t="s">
        <v>148</v>
      </c>
      <c r="AC130" s="32" t="s">
        <v>74</v>
      </c>
      <c r="AD130" s="32" t="s">
        <v>562</v>
      </c>
      <c r="AK130">
        <v>264.45800000000003</v>
      </c>
      <c r="AL130">
        <v>265.59870000000001</v>
      </c>
    </row>
    <row r="131" spans="27:38">
      <c r="AA131" t="s">
        <v>135</v>
      </c>
      <c r="AB131" t="s">
        <v>73</v>
      </c>
      <c r="AC131" s="75">
        <v>14267.0414</v>
      </c>
      <c r="AD131">
        <f>AC131/SUM($AC$131:$AC$132)</f>
        <v>0.4735987268619668</v>
      </c>
      <c r="AE131">
        <f>SUM(AD131:AD132)</f>
        <v>1</v>
      </c>
      <c r="AK131">
        <v>264.3426</v>
      </c>
      <c r="AL131">
        <v>265.5573</v>
      </c>
    </row>
    <row r="132" spans="27:38">
      <c r="AA132" t="s">
        <v>135</v>
      </c>
      <c r="AB132" t="s">
        <v>217</v>
      </c>
      <c r="AC132" s="75">
        <v>15857.7047</v>
      </c>
      <c r="AD132">
        <f>AC132/SUM($AC$131:$AC$132)</f>
        <v>0.5264012731380332</v>
      </c>
      <c r="AK132">
        <v>264.30790000000002</v>
      </c>
      <c r="AL132">
        <v>265.53140000000002</v>
      </c>
    </row>
    <row r="133" spans="27:38">
      <c r="AA133" t="s">
        <v>206</v>
      </c>
      <c r="AB133" t="s">
        <v>75</v>
      </c>
      <c r="AC133" s="75">
        <v>38657.855799999998</v>
      </c>
      <c r="AD133">
        <v>1</v>
      </c>
      <c r="AK133">
        <v>264.80329999999998</v>
      </c>
      <c r="AL133">
        <v>265.53230000000002</v>
      </c>
    </row>
    <row r="134" spans="27:38">
      <c r="AA134" t="s">
        <v>206</v>
      </c>
      <c r="AB134" t="s">
        <v>76</v>
      </c>
      <c r="AC134" s="75">
        <v>38408.5</v>
      </c>
      <c r="AD134">
        <v>1</v>
      </c>
      <c r="AK134">
        <v>264.80329999999998</v>
      </c>
      <c r="AL134">
        <v>265.58249999999998</v>
      </c>
    </row>
    <row r="135" spans="27:38">
      <c r="AA135" t="s">
        <v>206</v>
      </c>
      <c r="AB135" t="s">
        <v>220</v>
      </c>
      <c r="AC135" s="75">
        <v>31514.0893</v>
      </c>
      <c r="AD135">
        <v>1</v>
      </c>
      <c r="AK135">
        <v>264.80329999999998</v>
      </c>
      <c r="AL135">
        <v>265.4778</v>
      </c>
    </row>
    <row r="136" spans="27:38">
      <c r="AA136" t="s">
        <v>206</v>
      </c>
      <c r="AB136" t="s">
        <v>221</v>
      </c>
      <c r="AC136" s="75">
        <v>32098.9882</v>
      </c>
      <c r="AD136">
        <v>1</v>
      </c>
      <c r="AK136">
        <v>265.37630000000001</v>
      </c>
      <c r="AL136">
        <v>264.19540000000001</v>
      </c>
    </row>
    <row r="137" spans="27:38">
      <c r="AA137" t="s">
        <v>207</v>
      </c>
      <c r="AB137" t="s">
        <v>78</v>
      </c>
      <c r="AC137" s="75">
        <v>63163.374600000003</v>
      </c>
      <c r="AD137">
        <f>AC137/SUM($AC$137:$AC$139)</f>
        <v>0.3749310795992149</v>
      </c>
      <c r="AE137">
        <f>SUM(AD137:AD139)</f>
        <v>1</v>
      </c>
      <c r="AK137">
        <v>265.37630000000001</v>
      </c>
      <c r="AL137">
        <v>265.48930000000001</v>
      </c>
    </row>
    <row r="138" spans="27:38">
      <c r="AA138" t="s">
        <v>207</v>
      </c>
      <c r="AB138" t="s">
        <v>79</v>
      </c>
      <c r="AC138" s="75">
        <v>36231.236499999999</v>
      </c>
      <c r="AD138">
        <f t="shared" ref="AD138:AD139" si="84">AC138/SUM($AC$137:$AC$139)</f>
        <v>0.21506476976864181</v>
      </c>
      <c r="AK138">
        <v>265.37630000000001</v>
      </c>
      <c r="AL138">
        <v>265.2303</v>
      </c>
    </row>
    <row r="139" spans="27:38">
      <c r="AA139" t="s">
        <v>207</v>
      </c>
      <c r="AB139" t="s">
        <v>223</v>
      </c>
      <c r="AC139" s="75">
        <v>69072.016600000003</v>
      </c>
      <c r="AD139">
        <f t="shared" si="84"/>
        <v>0.41000415063214324</v>
      </c>
      <c r="AK139">
        <v>263.63299999999998</v>
      </c>
      <c r="AL139">
        <v>264.9914</v>
      </c>
    </row>
    <row r="140" spans="27:38">
      <c r="AA140" t="s">
        <v>208</v>
      </c>
      <c r="AB140" t="s">
        <v>85</v>
      </c>
      <c r="AC140" s="75">
        <v>4861.8494000000001</v>
      </c>
      <c r="AD140">
        <f>AC140/SUM($AC$140:$AC$142)</f>
        <v>0.50932407249705824</v>
      </c>
      <c r="AE140">
        <f>SUM(AD140:AD142)</f>
        <v>1</v>
      </c>
      <c r="AK140">
        <v>263.19029999999998</v>
      </c>
      <c r="AL140">
        <v>264.56079999999997</v>
      </c>
    </row>
    <row r="141" spans="27:38">
      <c r="AA141" t="s">
        <v>208</v>
      </c>
      <c r="AB141" t="s">
        <v>81</v>
      </c>
      <c r="AC141" s="75">
        <v>2430.8498</v>
      </c>
      <c r="AD141">
        <f>AC141/SUM($AC$140:$AC$142)</f>
        <v>0.25465418977491561</v>
      </c>
      <c r="AK141">
        <v>264.1825</v>
      </c>
      <c r="AL141">
        <v>265.35079999999999</v>
      </c>
    </row>
    <row r="142" spans="27:38">
      <c r="AA142" t="s">
        <v>208</v>
      </c>
      <c r="AB142" t="s">
        <v>82</v>
      </c>
      <c r="AC142" s="75">
        <v>2252.9902000000002</v>
      </c>
      <c r="AD142">
        <f>AC142/SUM($AC$140:$AC$142)</f>
        <v>0.23602173772802626</v>
      </c>
      <c r="AK142">
        <v>263.05619999999999</v>
      </c>
      <c r="AL142">
        <v>265.38589999999999</v>
      </c>
    </row>
    <row r="143" spans="27:38">
      <c r="AA143" t="s">
        <v>209</v>
      </c>
      <c r="AB143" t="s">
        <v>113</v>
      </c>
      <c r="AC143" s="75">
        <v>5756.5210999999999</v>
      </c>
      <c r="AD143">
        <f>AC143/SUM($AC$143:$AC$145)</f>
        <v>0.34334776653141269</v>
      </c>
      <c r="AE143">
        <f>SUM(AD143:AD145)</f>
        <v>1</v>
      </c>
      <c r="AK143">
        <v>263.01089999999999</v>
      </c>
      <c r="AL143">
        <v>265.15949999999998</v>
      </c>
    </row>
    <row r="144" spans="27:38">
      <c r="AA144" t="s">
        <v>209</v>
      </c>
      <c r="AB144" t="s">
        <v>114</v>
      </c>
      <c r="AC144" s="75">
        <v>5584.9350000000004</v>
      </c>
      <c r="AD144">
        <f t="shared" ref="AD144:AD145" si="85">AC144/SUM($AC$143:$AC$145)</f>
        <v>0.33311351164388425</v>
      </c>
      <c r="AK144">
        <v>264.36450000000002</v>
      </c>
      <c r="AL144">
        <v>265.40269999999998</v>
      </c>
    </row>
    <row r="145" spans="27:38">
      <c r="AA145" t="s">
        <v>209</v>
      </c>
      <c r="AB145" t="s">
        <v>115</v>
      </c>
      <c r="AC145" s="75">
        <v>5424.4053999999996</v>
      </c>
      <c r="AD145">
        <f t="shared" si="85"/>
        <v>0.32353872182470311</v>
      </c>
      <c r="AK145">
        <v>263.18360000000001</v>
      </c>
      <c r="AL145">
        <v>265.25900000000001</v>
      </c>
    </row>
    <row r="146" spans="27:38">
      <c r="AA146" t="s">
        <v>229</v>
      </c>
      <c r="AB146" t="s">
        <v>102</v>
      </c>
      <c r="AC146" s="75">
        <v>28051.338899999999</v>
      </c>
      <c r="AD146">
        <f>AC146/$AC$146</f>
        <v>1</v>
      </c>
      <c r="AE146">
        <f>SUM(AD146)</f>
        <v>1</v>
      </c>
      <c r="AK146">
        <v>263.02910000000003</v>
      </c>
      <c r="AL146">
        <v>265.23009999999999</v>
      </c>
    </row>
    <row r="147" spans="27:38">
      <c r="AA147" t="s">
        <v>211</v>
      </c>
      <c r="AB147" t="s">
        <v>105</v>
      </c>
      <c r="AC147" s="75">
        <v>15650.840399999999</v>
      </c>
      <c r="AD147">
        <f>AC147/SUM($AC$147:$AC$148)</f>
        <v>0.80490868986400721</v>
      </c>
      <c r="AE147">
        <f>SUM(AD147:AD148)</f>
        <v>1</v>
      </c>
      <c r="AK147">
        <v>263.04509999999999</v>
      </c>
      <c r="AL147">
        <v>265.24959999999999</v>
      </c>
    </row>
    <row r="148" spans="27:38">
      <c r="AA148" t="s">
        <v>211</v>
      </c>
      <c r="AB148" t="s">
        <v>106</v>
      </c>
      <c r="AC148" s="75">
        <v>3793.4029</v>
      </c>
      <c r="AD148">
        <f>AC148/SUM($AC$147:$AC$148)</f>
        <v>0.19509131013599282</v>
      </c>
      <c r="AK148">
        <v>263.1241</v>
      </c>
      <c r="AL148">
        <v>265.00060000000002</v>
      </c>
    </row>
    <row r="149" spans="27:38">
      <c r="AA149" t="s">
        <v>136</v>
      </c>
      <c r="AB149" t="s">
        <v>125</v>
      </c>
      <c r="AC149" s="75">
        <v>2617.3850000000002</v>
      </c>
      <c r="AD149">
        <f>AC149/SUM($AC$149:$AC$150)</f>
        <v>0.44699524620375919</v>
      </c>
      <c r="AE149">
        <f>SUM(AD149:AD150)</f>
        <v>0.99999999999999989</v>
      </c>
      <c r="AK149">
        <v>263.0609</v>
      </c>
      <c r="AL149">
        <v>263.95639999999997</v>
      </c>
    </row>
    <row r="150" spans="27:38">
      <c r="AA150" t="s">
        <v>136</v>
      </c>
      <c r="AB150" t="s">
        <v>126</v>
      </c>
      <c r="AC150" s="75">
        <v>3238.1246999999998</v>
      </c>
      <c r="AD150">
        <f>AC150/SUM($AC$149:$AC$150)</f>
        <v>0.5530047537962407</v>
      </c>
      <c r="AK150">
        <v>263.26960000000003</v>
      </c>
      <c r="AL150">
        <v>263.35599999999999</v>
      </c>
    </row>
    <row r="151" spans="27:38">
      <c r="AK151">
        <v>263.25670000000002</v>
      </c>
      <c r="AL151">
        <v>263.27480000000003</v>
      </c>
    </row>
    <row r="152" spans="27:38">
      <c r="AK152">
        <v>263.22179999999997</v>
      </c>
      <c r="AL152">
        <v>264.59930000000003</v>
      </c>
    </row>
    <row r="153" spans="27:38">
      <c r="AK153">
        <v>263.14269999999999</v>
      </c>
      <c r="AL153">
        <v>264.1114</v>
      </c>
    </row>
    <row r="154" spans="27:38">
      <c r="AK154">
        <v>263.28269999999998</v>
      </c>
      <c r="AL154">
        <v>264.56790000000001</v>
      </c>
    </row>
    <row r="155" spans="27:38">
      <c r="AK155">
        <v>263.08359999999999</v>
      </c>
      <c r="AL155">
        <v>264.10300000000001</v>
      </c>
    </row>
    <row r="156" spans="27:38">
      <c r="AK156">
        <v>263.1728</v>
      </c>
      <c r="AL156">
        <v>264.13679999999999</v>
      </c>
    </row>
    <row r="157" spans="27:38">
      <c r="AK157">
        <v>263.08359999999999</v>
      </c>
      <c r="AL157">
        <v>265.03250000000003</v>
      </c>
    </row>
    <row r="158" spans="27:38">
      <c r="AK158">
        <v>263.1728</v>
      </c>
      <c r="AL158">
        <v>263.67070000000001</v>
      </c>
    </row>
    <row r="159" spans="27:38">
      <c r="AK159">
        <v>263.01299999999998</v>
      </c>
      <c r="AL159">
        <v>264.59930000000003</v>
      </c>
    </row>
    <row r="160" spans="27:38">
      <c r="AK160">
        <v>263.08710000000002</v>
      </c>
      <c r="AL160">
        <v>264.1114</v>
      </c>
    </row>
    <row r="161" spans="37:38">
      <c r="AK161">
        <v>263.33159999999998</v>
      </c>
      <c r="AL161">
        <v>264.56790000000001</v>
      </c>
    </row>
    <row r="162" spans="37:38">
      <c r="AK162">
        <v>265.45819999999998</v>
      </c>
      <c r="AL162">
        <v>264.10300000000001</v>
      </c>
    </row>
    <row r="163" spans="37:38">
      <c r="AK163">
        <v>265.39909999999998</v>
      </c>
      <c r="AL163">
        <v>264.13679999999999</v>
      </c>
    </row>
    <row r="164" spans="37:38">
      <c r="AK164">
        <v>265.35759999999999</v>
      </c>
      <c r="AL164">
        <v>265.03250000000003</v>
      </c>
    </row>
    <row r="165" spans="37:38">
      <c r="AK165">
        <v>265.48480000000001</v>
      </c>
      <c r="AL165">
        <v>263.67070000000001</v>
      </c>
    </row>
    <row r="166" spans="37:38">
      <c r="AK166">
        <v>265.4966</v>
      </c>
      <c r="AL166">
        <v>263.78210000000001</v>
      </c>
    </row>
    <row r="167" spans="37:38">
      <c r="AK167">
        <v>265.44389999999999</v>
      </c>
      <c r="AL167">
        <v>262.28149999999999</v>
      </c>
    </row>
    <row r="168" spans="37:38">
      <c r="AK168">
        <v>265.4871</v>
      </c>
      <c r="AL168">
        <v>263.08690000000001</v>
      </c>
    </row>
    <row r="169" spans="37:38">
      <c r="AK169">
        <v>265.36009999999999</v>
      </c>
      <c r="AL169">
        <v>263.19619999999998</v>
      </c>
    </row>
    <row r="170" spans="37:38">
      <c r="AK170">
        <v>265.33390000000003</v>
      </c>
      <c r="AL170">
        <v>263.19619999999998</v>
      </c>
    </row>
    <row r="171" spans="37:38">
      <c r="AK171">
        <v>263.99829999999997</v>
      </c>
      <c r="AL171">
        <v>263.19619999999998</v>
      </c>
    </row>
    <row r="172" spans="37:38">
      <c r="AK172">
        <v>265.33260000000001</v>
      </c>
      <c r="AL172">
        <v>263.19619999999998</v>
      </c>
    </row>
    <row r="173" spans="37:38">
      <c r="AK173">
        <v>265.49009999999998</v>
      </c>
      <c r="AL173">
        <v>263.19619999999998</v>
      </c>
    </row>
    <row r="174" spans="37:38">
      <c r="AK174">
        <v>265.39690000000002</v>
      </c>
      <c r="AL174">
        <v>263.19619999999998</v>
      </c>
    </row>
    <row r="175" spans="37:38">
      <c r="AK175">
        <v>265.41719999999998</v>
      </c>
      <c r="AL175">
        <v>264.41059999999999</v>
      </c>
    </row>
    <row r="176" spans="37:38">
      <c r="AK176">
        <v>265.38510000000002</v>
      </c>
      <c r="AL176">
        <v>264.40190000000001</v>
      </c>
    </row>
    <row r="177" spans="37:40">
      <c r="AK177">
        <v>265.43380000000002</v>
      </c>
      <c r="AL177">
        <v>263.1893</v>
      </c>
    </row>
    <row r="178" spans="37:40">
      <c r="AL178">
        <v>263.76400000000001</v>
      </c>
    </row>
    <row r="179" spans="37:40">
      <c r="AL179">
        <v>263.76400000000001</v>
      </c>
    </row>
    <row r="180" spans="37:40">
      <c r="AL180">
        <v>263.76400000000001</v>
      </c>
    </row>
    <row r="181" spans="37:40">
      <c r="AL181">
        <v>263.33859999999999</v>
      </c>
    </row>
    <row r="182" spans="37:40">
      <c r="AL182">
        <v>263.40210000000002</v>
      </c>
    </row>
    <row r="183" spans="37:40">
      <c r="AL183">
        <v>263.28879999999998</v>
      </c>
    </row>
    <row r="189" spans="37:40">
      <c r="AK189">
        <f>SUM(AK124:AK188)</f>
        <v>14267.0414</v>
      </c>
      <c r="AL189">
        <f t="shared" ref="AL189:AN189" si="86">SUM(AL124:AL188)</f>
        <v>15857.704699999997</v>
      </c>
      <c r="AM189">
        <f t="shared" si="86"/>
        <v>2617.3850000000002</v>
      </c>
      <c r="AN189">
        <f t="shared" si="86"/>
        <v>3238.1246999999998</v>
      </c>
    </row>
    <row r="190" spans="37:40">
      <c r="AM190">
        <v>2617.3850000000002</v>
      </c>
      <c r="AN190">
        <v>3238.1246999999998</v>
      </c>
    </row>
  </sheetData>
  <mergeCells count="99">
    <mergeCell ref="AX5:AZ5"/>
    <mergeCell ref="AA12:AB12"/>
    <mergeCell ref="AC12:AD12"/>
    <mergeCell ref="AP12:AQ12"/>
    <mergeCell ref="AR12:AS12"/>
    <mergeCell ref="BP25:BR25"/>
    <mergeCell ref="AV25:AW25"/>
    <mergeCell ref="AX25:AZ25"/>
    <mergeCell ref="AA25:AB25"/>
    <mergeCell ref="AI25:AK25"/>
    <mergeCell ref="AP25:AQ25"/>
    <mergeCell ref="AR25:AS25"/>
    <mergeCell ref="AT25:AU25"/>
    <mergeCell ref="AC25:AD25"/>
    <mergeCell ref="AE25:AF25"/>
    <mergeCell ref="AG25:AH25"/>
    <mergeCell ref="BG25:BI25"/>
    <mergeCell ref="AA4:AF4"/>
    <mergeCell ref="AG4:AH5"/>
    <mergeCell ref="AP4:AU4"/>
    <mergeCell ref="AV4:AW5"/>
    <mergeCell ref="AP5:AQ5"/>
    <mergeCell ref="AR5:AS5"/>
    <mergeCell ref="AT5:AU5"/>
    <mergeCell ref="AA5:AB5"/>
    <mergeCell ref="AC5:AD5"/>
    <mergeCell ref="AE5:AF5"/>
    <mergeCell ref="AI5:AK5"/>
    <mergeCell ref="BP26:BP43"/>
    <mergeCell ref="BQ26:BQ29"/>
    <mergeCell ref="BQ30:BQ31"/>
    <mergeCell ref="BQ32:BQ33"/>
    <mergeCell ref="BQ34:BQ35"/>
    <mergeCell ref="BQ36:BQ37"/>
    <mergeCell ref="BQ38:BQ39"/>
    <mergeCell ref="BQ40:BQ41"/>
    <mergeCell ref="BQ42:BQ43"/>
    <mergeCell ref="BG26:BG43"/>
    <mergeCell ref="BH26:BH29"/>
    <mergeCell ref="BH30:BH31"/>
    <mergeCell ref="BH32:BH33"/>
    <mergeCell ref="BH34:BH35"/>
    <mergeCell ref="BH36:BH37"/>
    <mergeCell ref="BH38:BH39"/>
    <mergeCell ref="BH40:BH41"/>
    <mergeCell ref="BH42:BH43"/>
    <mergeCell ref="AK122:AN122"/>
    <mergeCell ref="DR60:DU60"/>
    <mergeCell ref="DY60:DZ60"/>
    <mergeCell ref="CE60:CR60"/>
    <mergeCell ref="CX60:DA60"/>
    <mergeCell ref="DB60:DE60"/>
    <mergeCell ref="DF60:DI60"/>
    <mergeCell ref="DJ60:DM60"/>
    <mergeCell ref="DN60:DQ60"/>
    <mergeCell ref="BC60:BP60"/>
    <mergeCell ref="AO60:BB60"/>
    <mergeCell ref="AA60:AN60"/>
    <mergeCell ref="P117:Q117"/>
    <mergeCell ref="R117:S117"/>
    <mergeCell ref="T117:U117"/>
    <mergeCell ref="V117:X117"/>
    <mergeCell ref="G27:H27"/>
    <mergeCell ref="I27:J27"/>
    <mergeCell ref="K27:M27"/>
    <mergeCell ref="M60:Z60"/>
    <mergeCell ref="C117:D117"/>
    <mergeCell ref="E117:F117"/>
    <mergeCell ref="G117:H117"/>
    <mergeCell ref="I117:J117"/>
    <mergeCell ref="K117:M117"/>
    <mergeCell ref="B6:C7"/>
    <mergeCell ref="D6:E6"/>
    <mergeCell ref="B8:B9"/>
    <mergeCell ref="B10:B11"/>
    <mergeCell ref="B12:B13"/>
    <mergeCell ref="ED60:EE60"/>
    <mergeCell ref="M86:Z86"/>
    <mergeCell ref="AA86:AN86"/>
    <mergeCell ref="AO86:BB86"/>
    <mergeCell ref="BC86:BP86"/>
    <mergeCell ref="BQ86:CD86"/>
    <mergeCell ref="CE86:CR86"/>
    <mergeCell ref="CX86:DA86"/>
    <mergeCell ref="DB86:DE86"/>
    <mergeCell ref="DF86:DI86"/>
    <mergeCell ref="DJ86:DM86"/>
    <mergeCell ref="DN86:DQ86"/>
    <mergeCell ref="DR86:DU86"/>
    <mergeCell ref="DY86:DZ86"/>
    <mergeCell ref="ED86:EE86"/>
    <mergeCell ref="BQ60:CD60"/>
    <mergeCell ref="C27:D27"/>
    <mergeCell ref="E27:F27"/>
    <mergeCell ref="B14:B15"/>
    <mergeCell ref="B16:B17"/>
    <mergeCell ref="B18:B19"/>
    <mergeCell ref="B20:B21"/>
    <mergeCell ref="B22:B23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9" tint="0.79998168889431442"/>
  </sheetPr>
  <dimension ref="A1:FC307"/>
  <sheetViews>
    <sheetView topLeftCell="DE71" zoomScale="70" zoomScaleNormal="70" workbookViewId="0">
      <selection activeCell="DJ87" sqref="DJ87"/>
    </sheetView>
  </sheetViews>
  <sheetFormatPr defaultRowHeight="17"/>
  <cols>
    <col min="3" max="3" width="11.5" bestFit="1" customWidth="1"/>
    <col min="11" max="11" width="41.5" bestFit="1" customWidth="1"/>
    <col min="13" max="13" width="8.75" bestFit="1" customWidth="1"/>
    <col min="14" max="14" width="11.5" bestFit="1" customWidth="1"/>
    <col min="15" max="15" width="11.08203125" bestFit="1" customWidth="1"/>
    <col min="16" max="17" width="11.5" bestFit="1" customWidth="1"/>
    <col min="18" max="19" width="8.75" bestFit="1" customWidth="1"/>
    <col min="20" max="20" width="9.58203125" bestFit="1" customWidth="1"/>
    <col min="21" max="21" width="8.75" bestFit="1" customWidth="1"/>
    <col min="22" max="22" width="11.58203125" bestFit="1" customWidth="1"/>
    <col min="23" max="24" width="8.75" bestFit="1" customWidth="1"/>
    <col min="25" max="25" width="9.75" bestFit="1" customWidth="1"/>
    <col min="26" max="26" width="9.58203125" bestFit="1" customWidth="1"/>
    <col min="31" max="31" width="11.75" bestFit="1" customWidth="1"/>
    <col min="32" max="32" width="11" bestFit="1" customWidth="1"/>
    <col min="48" max="48" width="16.4140625" customWidth="1"/>
    <col min="49" max="49" width="13.08203125" bestFit="1" customWidth="1"/>
    <col min="56" max="56" width="16.33203125" bestFit="1" customWidth="1"/>
    <col min="83" max="84" width="7.6640625" bestFit="1" customWidth="1"/>
    <col min="85" max="87" width="9" bestFit="1" customWidth="1"/>
    <col min="88" max="88" width="13.75" bestFit="1" customWidth="1"/>
    <col min="89" max="89" width="9" bestFit="1" customWidth="1"/>
    <col min="90" max="90" width="11.75" bestFit="1" customWidth="1"/>
    <col min="91" max="91" width="10.25" bestFit="1" customWidth="1"/>
    <col min="92" max="92" width="6.58203125" bestFit="1" customWidth="1"/>
    <col min="93" max="94" width="7.1640625" bestFit="1" customWidth="1"/>
    <col min="95" max="95" width="5.5" bestFit="1" customWidth="1"/>
    <col min="96" max="96" width="7.6640625" bestFit="1" customWidth="1"/>
    <col min="101" max="101" width="18.1640625" bestFit="1" customWidth="1"/>
    <col min="127" max="128" width="19.58203125" bestFit="1" customWidth="1"/>
    <col min="133" max="133" width="19.58203125" bestFit="1" customWidth="1"/>
    <col min="136" max="136" width="19" bestFit="1" customWidth="1"/>
    <col min="137" max="137" width="19" customWidth="1"/>
    <col min="138" max="138" width="11.83203125" bestFit="1" customWidth="1"/>
  </cols>
  <sheetData>
    <row r="1" spans="1:56">
      <c r="A1" t="s">
        <v>846</v>
      </c>
    </row>
    <row r="2" spans="1:56">
      <c r="A2" s="32" t="s">
        <v>149</v>
      </c>
      <c r="B2" s="32" t="s">
        <v>845</v>
      </c>
    </row>
    <row r="4" spans="1:56" ht="20.5">
      <c r="A4" t="s">
        <v>0</v>
      </c>
      <c r="K4" t="s">
        <v>276</v>
      </c>
      <c r="M4" t="s">
        <v>257</v>
      </c>
      <c r="S4" t="s">
        <v>253</v>
      </c>
      <c r="AV4" s="364" t="s">
        <v>773</v>
      </c>
      <c r="BD4" s="364" t="s">
        <v>773</v>
      </c>
    </row>
    <row r="5" spans="1:56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  <c r="AV5" t="s">
        <v>772</v>
      </c>
    </row>
    <row r="6" spans="1:56" ht="17.25" customHeight="1" thickTop="1" thickBot="1">
      <c r="A6" s="576" t="s">
        <v>27</v>
      </c>
      <c r="B6" s="577"/>
      <c r="C6" s="1" t="s">
        <v>2</v>
      </c>
      <c r="D6" s="619" t="s">
        <v>5</v>
      </c>
      <c r="E6" s="577"/>
      <c r="F6" s="619" t="s">
        <v>7</v>
      </c>
      <c r="G6" s="620"/>
      <c r="H6" s="621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622" t="s">
        <v>175</v>
      </c>
      <c r="T6" s="623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71</v>
      </c>
      <c r="AG6" t="s">
        <v>72</v>
      </c>
      <c r="AL6" s="76" t="s">
        <v>244</v>
      </c>
      <c r="AN6" t="s">
        <v>245</v>
      </c>
      <c r="AV6" t="s">
        <v>776</v>
      </c>
      <c r="BD6" s="32" t="s">
        <v>777</v>
      </c>
    </row>
    <row r="7" spans="1:56" ht="18" thickTop="1" thickBot="1">
      <c r="A7" s="613"/>
      <c r="B7" s="614"/>
      <c r="C7" s="2" t="s">
        <v>3</v>
      </c>
      <c r="D7" s="624" t="s">
        <v>6</v>
      </c>
      <c r="E7" s="625"/>
      <c r="F7" s="624" t="s">
        <v>8</v>
      </c>
      <c r="G7" s="626"/>
      <c r="H7" s="627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628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6" t="s">
        <v>27</v>
      </c>
      <c r="AG7" s="577"/>
      <c r="AH7" s="1" t="s">
        <v>340</v>
      </c>
      <c r="AI7" s="615" t="s">
        <v>234</v>
      </c>
      <c r="AJ7" s="616"/>
      <c r="AK7" s="616"/>
      <c r="AL7" s="616"/>
      <c r="AM7" s="616"/>
      <c r="AN7" s="617"/>
      <c r="AS7" t="s">
        <v>774</v>
      </c>
      <c r="AT7" t="s">
        <v>775</v>
      </c>
      <c r="AV7" s="98"/>
      <c r="AW7" s="98" t="s">
        <v>763</v>
      </c>
      <c r="AX7" s="98" t="s">
        <v>764</v>
      </c>
      <c r="AY7" s="306" t="s">
        <v>765</v>
      </c>
      <c r="AZ7" s="98" t="s">
        <v>766</v>
      </c>
      <c r="BA7" s="98" t="s">
        <v>767</v>
      </c>
      <c r="BB7" s="98" t="s">
        <v>768</v>
      </c>
      <c r="BD7" s="368">
        <v>2.8500000000000001E-2</v>
      </c>
    </row>
    <row r="8" spans="1:56" ht="18" thickTop="1" thickBot="1">
      <c r="A8" s="578"/>
      <c r="B8" s="579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29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613"/>
      <c r="AG8" s="614"/>
      <c r="AH8" s="2" t="s">
        <v>3</v>
      </c>
      <c r="AI8" s="608" t="s">
        <v>341</v>
      </c>
      <c r="AJ8" s="609"/>
      <c r="AK8" s="618"/>
      <c r="AL8" s="608" t="s">
        <v>342</v>
      </c>
      <c r="AM8" s="609"/>
      <c r="AN8" s="610"/>
      <c r="AS8" s="97">
        <f>F21</f>
        <v>31679</v>
      </c>
      <c r="AT8">
        <v>2024</v>
      </c>
      <c r="AV8" s="98"/>
      <c r="AW8" s="98"/>
      <c r="AX8" s="369">
        <v>0</v>
      </c>
      <c r="AY8" s="370">
        <v>1</v>
      </c>
      <c r="AZ8" s="369">
        <v>2</v>
      </c>
      <c r="BA8" s="369">
        <v>3</v>
      </c>
      <c r="BB8" s="369">
        <v>4</v>
      </c>
    </row>
    <row r="9" spans="1:56" ht="18" thickTop="1" thickBot="1">
      <c r="A9" s="611" t="s">
        <v>12</v>
      </c>
      <c r="B9" s="612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29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8"/>
      <c r="AG9" s="579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  <c r="AV9" s="98" t="s">
        <v>769</v>
      </c>
      <c r="AW9" s="98">
        <v>100000</v>
      </c>
      <c r="AX9" s="365">
        <v>0.3</v>
      </c>
      <c r="AY9" s="366">
        <v>0.7</v>
      </c>
      <c r="AZ9" s="365">
        <v>0.85</v>
      </c>
      <c r="BA9" s="365">
        <v>0.95</v>
      </c>
      <c r="BB9" s="365">
        <v>1</v>
      </c>
    </row>
    <row r="10" spans="1:56" ht="16.5" customHeight="1" thickTop="1">
      <c r="A10" s="598" t="s">
        <v>13</v>
      </c>
      <c r="B10" s="59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5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611" t="s">
        <v>135</v>
      </c>
      <c r="AG10" s="612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  <c r="AV10" s="98" t="s">
        <v>770</v>
      </c>
      <c r="AW10" s="98">
        <v>50000</v>
      </c>
      <c r="AX10" s="365">
        <v>0.5</v>
      </c>
      <c r="AY10" s="366">
        <v>0.8</v>
      </c>
      <c r="AZ10" s="365">
        <v>0.9</v>
      </c>
      <c r="BA10" s="365">
        <v>1</v>
      </c>
      <c r="BB10" s="365">
        <v>1</v>
      </c>
    </row>
    <row r="11" spans="1:56">
      <c r="A11" s="598" t="s">
        <v>14</v>
      </c>
      <c r="B11" s="59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4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98" t="s">
        <v>136</v>
      </c>
      <c r="AG11" s="59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  <c r="AV11" s="306" t="s">
        <v>771</v>
      </c>
      <c r="AW11" s="306">
        <v>49999</v>
      </c>
      <c r="AX11" s="366">
        <v>0.7</v>
      </c>
      <c r="AY11" s="367">
        <v>0.9</v>
      </c>
      <c r="AZ11" s="366">
        <v>1</v>
      </c>
      <c r="BA11" s="366">
        <v>1</v>
      </c>
      <c r="BB11" s="366">
        <v>1</v>
      </c>
    </row>
    <row r="12" spans="1:56">
      <c r="A12" s="598" t="s">
        <v>15</v>
      </c>
      <c r="B12" s="59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5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98" t="s">
        <v>137</v>
      </c>
      <c r="AG12" s="59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56">
      <c r="A13" s="598" t="s">
        <v>16</v>
      </c>
      <c r="B13" s="59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4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98" t="s">
        <v>139</v>
      </c>
      <c r="AG13" s="59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56">
      <c r="A14" s="598" t="s">
        <v>17</v>
      </c>
      <c r="B14" s="59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5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98" t="s">
        <v>43</v>
      </c>
      <c r="AG14" s="59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56" ht="16.5" customHeight="1">
      <c r="A15" s="190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4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98" t="s">
        <v>141</v>
      </c>
      <c r="AG15" s="59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56">
      <c r="A16" s="189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5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190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89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4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189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30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189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98" t="s">
        <v>24</v>
      </c>
      <c r="B19" s="59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98" t="s">
        <v>25</v>
      </c>
      <c r="B20" s="59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98" t="s">
        <v>144</v>
      </c>
      <c r="AG20" s="59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0" t="s">
        <v>26</v>
      </c>
      <c r="B21" s="601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 t="e">
        <f>#REF!</f>
        <v>#REF!</v>
      </c>
      <c r="AF21" s="598" t="s">
        <v>146</v>
      </c>
      <c r="AG21" s="59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AF22" s="600" t="s">
        <v>26</v>
      </c>
      <c r="AG22" s="601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432</v>
      </c>
      <c r="Q24" s="76"/>
      <c r="S24" t="s">
        <v>245</v>
      </c>
    </row>
    <row r="25" spans="1:40" ht="17.5" thickTop="1">
      <c r="A25" s="576" t="s">
        <v>1</v>
      </c>
      <c r="B25" s="577"/>
      <c r="C25" s="1" t="s">
        <v>2</v>
      </c>
      <c r="D25" s="615" t="s">
        <v>29</v>
      </c>
      <c r="E25" s="616"/>
      <c r="F25" s="616"/>
      <c r="G25" s="616"/>
      <c r="H25" s="616"/>
      <c r="I25" s="617"/>
      <c r="K25" s="576" t="s">
        <v>27</v>
      </c>
      <c r="L25" s="577"/>
      <c r="M25" s="1" t="s">
        <v>2</v>
      </c>
      <c r="N25" s="615" t="s">
        <v>234</v>
      </c>
      <c r="O25" s="616"/>
      <c r="P25" s="616"/>
      <c r="Q25" s="616"/>
      <c r="R25" s="616"/>
      <c r="S25" s="617"/>
    </row>
    <row r="26" spans="1:40">
      <c r="A26" s="613"/>
      <c r="B26" s="614"/>
      <c r="C26" s="2" t="s">
        <v>3</v>
      </c>
      <c r="D26" s="608" t="s">
        <v>30</v>
      </c>
      <c r="E26" s="609"/>
      <c r="F26" s="618"/>
      <c r="G26" s="608" t="s">
        <v>31</v>
      </c>
      <c r="H26" s="609"/>
      <c r="I26" s="610"/>
      <c r="K26" s="613"/>
      <c r="L26" s="614"/>
      <c r="M26" s="2" t="s">
        <v>3</v>
      </c>
      <c r="N26" s="608" t="s">
        <v>30</v>
      </c>
      <c r="O26" s="609"/>
      <c r="P26" s="618"/>
      <c r="Q26" s="608" t="s">
        <v>31</v>
      </c>
      <c r="R26" s="609"/>
      <c r="S26" s="610"/>
      <c r="U26" t="s">
        <v>35</v>
      </c>
      <c r="W26" t="s">
        <v>38</v>
      </c>
    </row>
    <row r="27" spans="1:40" ht="17.5" thickBot="1">
      <c r="A27" s="578"/>
      <c r="B27" s="579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8"/>
      <c r="L27" s="579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</row>
    <row r="28" spans="1:40" ht="17.5" thickTop="1">
      <c r="A28" s="611" t="s">
        <v>12</v>
      </c>
      <c r="B28" s="612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611" t="s">
        <v>135</v>
      </c>
      <c r="L28" s="612"/>
      <c r="M28" s="6">
        <v>53</v>
      </c>
      <c r="N28" s="6">
        <f>AI10/2</f>
        <v>170</v>
      </c>
      <c r="O28" s="6"/>
      <c r="P28" s="6">
        <f>N28+O28</f>
        <v>170</v>
      </c>
      <c r="Q28" s="6">
        <f>AL10/2</f>
        <v>170</v>
      </c>
      <c r="R28" s="6"/>
      <c r="S28" s="6">
        <f>Q28+R28</f>
        <v>170</v>
      </c>
      <c r="V28">
        <v>2029</v>
      </c>
      <c r="W28">
        <v>2.5499999999999998</v>
      </c>
    </row>
    <row r="29" spans="1:40">
      <c r="A29" s="598" t="s">
        <v>13</v>
      </c>
      <c r="B29" s="59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98" t="s">
        <v>136</v>
      </c>
      <c r="L29" s="599"/>
      <c r="M29" s="8">
        <v>15360</v>
      </c>
      <c r="N29" s="9">
        <f t="shared" ref="N29:N33" si="0">AI11/2</f>
        <v>138</v>
      </c>
      <c r="O29" s="8"/>
      <c r="P29" s="8">
        <f t="shared" ref="P29:P39" si="1">N29+O29</f>
        <v>138</v>
      </c>
      <c r="Q29" s="9">
        <f t="shared" ref="Q29:Q33" si="2">AL11/2</f>
        <v>135</v>
      </c>
      <c r="R29" s="8"/>
      <c r="S29" s="11">
        <f t="shared" ref="S29:S39" si="3">Q29+R29</f>
        <v>135</v>
      </c>
      <c r="U29" t="s">
        <v>37</v>
      </c>
      <c r="V29">
        <v>2025</v>
      </c>
      <c r="W29">
        <v>2</v>
      </c>
    </row>
    <row r="30" spans="1:40">
      <c r="A30" s="598" t="s">
        <v>14</v>
      </c>
      <c r="B30" s="59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98" t="s">
        <v>137</v>
      </c>
      <c r="L30" s="599"/>
      <c r="M30" s="8">
        <v>88536</v>
      </c>
      <c r="N30" s="8">
        <f t="shared" si="0"/>
        <v>1028</v>
      </c>
      <c r="O30" s="8"/>
      <c r="P30" s="8">
        <f t="shared" si="1"/>
        <v>1028</v>
      </c>
      <c r="Q30" s="8">
        <f t="shared" si="2"/>
        <v>1011</v>
      </c>
      <c r="R30" s="8"/>
      <c r="S30" s="11">
        <f t="shared" si="3"/>
        <v>1011</v>
      </c>
      <c r="V30">
        <v>2029</v>
      </c>
      <c r="W30">
        <v>2</v>
      </c>
    </row>
    <row r="31" spans="1:40">
      <c r="A31" s="598" t="s">
        <v>15</v>
      </c>
      <c r="B31" s="59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98" t="s">
        <v>139</v>
      </c>
      <c r="L31" s="599"/>
      <c r="M31" s="8">
        <v>835928</v>
      </c>
      <c r="N31" s="8">
        <f t="shared" si="0"/>
        <v>29007</v>
      </c>
      <c r="O31" s="8"/>
      <c r="P31" s="8">
        <f t="shared" si="1"/>
        <v>29007</v>
      </c>
      <c r="Q31" s="8">
        <f t="shared" si="2"/>
        <v>28532</v>
      </c>
      <c r="R31" s="8"/>
      <c r="S31" s="11">
        <f t="shared" si="3"/>
        <v>28532</v>
      </c>
    </row>
    <row r="32" spans="1:40">
      <c r="A32" s="598" t="s">
        <v>16</v>
      </c>
      <c r="B32" s="59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98" t="s">
        <v>43</v>
      </c>
      <c r="L32" s="599"/>
      <c r="M32" s="8">
        <v>114912</v>
      </c>
      <c r="N32" s="8">
        <f t="shared" si="0"/>
        <v>3144</v>
      </c>
      <c r="O32" s="8"/>
      <c r="P32" s="8">
        <f t="shared" si="1"/>
        <v>3144</v>
      </c>
      <c r="Q32" s="8">
        <f t="shared" si="2"/>
        <v>3092</v>
      </c>
      <c r="R32" s="8"/>
      <c r="S32" s="11">
        <f t="shared" si="3"/>
        <v>3092</v>
      </c>
    </row>
    <row r="33" spans="1:159">
      <c r="A33" s="598" t="s">
        <v>17</v>
      </c>
      <c r="B33" s="59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98" t="s">
        <v>141</v>
      </c>
      <c r="L33" s="599"/>
      <c r="M33" s="8">
        <v>265206</v>
      </c>
      <c r="N33" s="8">
        <f t="shared" si="0"/>
        <v>2684</v>
      </c>
      <c r="O33" s="8"/>
      <c r="P33" s="8">
        <f t="shared" si="1"/>
        <v>2684</v>
      </c>
      <c r="Q33" s="8">
        <f t="shared" si="2"/>
        <v>2640</v>
      </c>
      <c r="R33" s="8"/>
      <c r="S33" s="11">
        <f t="shared" si="3"/>
        <v>2640</v>
      </c>
    </row>
    <row r="34" spans="1:159">
      <c r="A34" s="189" t="s">
        <v>19</v>
      </c>
      <c r="B34" s="15" t="s">
        <v>14</v>
      </c>
      <c r="C34" s="8">
        <v>68522</v>
      </c>
      <c r="D34" s="9">
        <v>614</v>
      </c>
      <c r="E34" s="8">
        <v>4451</v>
      </c>
      <c r="F34" s="8">
        <v>5065</v>
      </c>
      <c r="G34" s="9">
        <v>614</v>
      </c>
      <c r="H34" s="8">
        <v>4449</v>
      </c>
      <c r="I34" s="11">
        <v>5063</v>
      </c>
      <c r="J34" s="33"/>
      <c r="K34" s="189" t="s">
        <v>19</v>
      </c>
      <c r="L34" s="15" t="s">
        <v>14</v>
      </c>
      <c r="M34" s="8">
        <v>68522</v>
      </c>
      <c r="N34" s="8">
        <f t="shared" ref="N34:N39" si="4">AI17/2</f>
        <v>796</v>
      </c>
      <c r="O34" s="8"/>
      <c r="P34" s="8">
        <f t="shared" si="1"/>
        <v>796</v>
      </c>
      <c r="Q34" s="8">
        <f t="shared" ref="Q34:Q39" si="5">AL17/2</f>
        <v>783</v>
      </c>
      <c r="R34" s="8"/>
      <c r="S34" s="11">
        <f t="shared" si="3"/>
        <v>783</v>
      </c>
    </row>
    <row r="35" spans="1:159" ht="25">
      <c r="A35" s="189" t="s">
        <v>20</v>
      </c>
      <c r="B35" s="15" t="s">
        <v>13</v>
      </c>
      <c r="C35" s="8">
        <v>68522</v>
      </c>
      <c r="D35" s="9">
        <v>472</v>
      </c>
      <c r="E35" s="8">
        <v>3997</v>
      </c>
      <c r="F35" s="8">
        <v>4469</v>
      </c>
      <c r="G35" s="9">
        <v>472</v>
      </c>
      <c r="H35" s="8">
        <v>3995</v>
      </c>
      <c r="I35" s="11">
        <v>4467</v>
      </c>
      <c r="J35" s="33"/>
      <c r="K35" s="189" t="s">
        <v>20</v>
      </c>
      <c r="L35" s="15" t="s">
        <v>13</v>
      </c>
      <c r="M35" s="8">
        <v>68522</v>
      </c>
      <c r="N35" s="8">
        <f t="shared" si="4"/>
        <v>612</v>
      </c>
      <c r="O35" s="8"/>
      <c r="P35" s="8">
        <f t="shared" si="1"/>
        <v>612</v>
      </c>
      <c r="Q35" s="8">
        <f t="shared" si="5"/>
        <v>602</v>
      </c>
      <c r="R35" s="8"/>
      <c r="S35" s="11">
        <f t="shared" si="3"/>
        <v>602</v>
      </c>
    </row>
    <row r="36" spans="1:159">
      <c r="A36" s="14"/>
      <c r="B36" s="15" t="s">
        <v>23</v>
      </c>
      <c r="C36" s="8">
        <v>58733</v>
      </c>
      <c r="D36" s="8">
        <v>1573</v>
      </c>
      <c r="E36" s="9">
        <v>922</v>
      </c>
      <c r="F36" s="8">
        <v>2495</v>
      </c>
      <c r="G36" s="8">
        <v>1573</v>
      </c>
      <c r="H36" s="9">
        <v>922</v>
      </c>
      <c r="I36" s="11">
        <v>2495</v>
      </c>
      <c r="J36" s="33"/>
      <c r="K36" s="14"/>
      <c r="L36" s="15" t="s">
        <v>23</v>
      </c>
      <c r="M36" s="8">
        <v>58733</v>
      </c>
      <c r="N36" s="8">
        <f t="shared" si="4"/>
        <v>2038</v>
      </c>
      <c r="O36" s="8"/>
      <c r="P36" s="8">
        <f t="shared" si="1"/>
        <v>2038</v>
      </c>
      <c r="Q36" s="8">
        <f t="shared" si="5"/>
        <v>2005</v>
      </c>
      <c r="R36" s="8"/>
      <c r="S36" s="11">
        <f t="shared" si="3"/>
        <v>2005</v>
      </c>
      <c r="EA36" s="32" t="s">
        <v>863</v>
      </c>
    </row>
    <row r="37" spans="1:159">
      <c r="A37" s="598" t="s">
        <v>24</v>
      </c>
      <c r="B37" s="599"/>
      <c r="C37" s="8">
        <v>76980</v>
      </c>
      <c r="D37" s="9">
        <v>842</v>
      </c>
      <c r="E37" s="8">
        <v>2864</v>
      </c>
      <c r="F37" s="8">
        <v>3706</v>
      </c>
      <c r="G37" s="9">
        <v>842</v>
      </c>
      <c r="H37" s="8">
        <v>2863</v>
      </c>
      <c r="I37" s="11">
        <v>3705</v>
      </c>
      <c r="J37" s="33" t="s">
        <v>124</v>
      </c>
      <c r="K37" s="598" t="s">
        <v>144</v>
      </c>
      <c r="L37" s="599"/>
      <c r="M37" s="8">
        <v>76980</v>
      </c>
      <c r="N37" s="8">
        <f t="shared" si="4"/>
        <v>1091</v>
      </c>
      <c r="O37" s="8"/>
      <c r="P37" s="8">
        <f t="shared" si="1"/>
        <v>1091</v>
      </c>
      <c r="Q37" s="8">
        <f t="shared" si="5"/>
        <v>1073</v>
      </c>
      <c r="R37" s="8"/>
      <c r="S37" s="11">
        <f t="shared" si="3"/>
        <v>1073</v>
      </c>
      <c r="Z37" s="403"/>
      <c r="AA37" s="32" t="s">
        <v>851</v>
      </c>
      <c r="DZ37" s="279"/>
      <c r="EA37" s="279" t="s">
        <v>601</v>
      </c>
    </row>
    <row r="38" spans="1:159">
      <c r="A38" s="598" t="s">
        <v>25</v>
      </c>
      <c r="B38" s="599"/>
      <c r="C38" s="8">
        <v>11571</v>
      </c>
      <c r="D38" s="9">
        <v>265</v>
      </c>
      <c r="E38" s="8">
        <v>2250</v>
      </c>
      <c r="F38" s="8">
        <v>2515</v>
      </c>
      <c r="G38" s="9">
        <v>265</v>
      </c>
      <c r="H38" s="8">
        <v>2249</v>
      </c>
      <c r="I38" s="11">
        <v>2514</v>
      </c>
      <c r="J38" s="33" t="s">
        <v>129</v>
      </c>
      <c r="K38" s="598" t="s">
        <v>145</v>
      </c>
      <c r="L38" s="599"/>
      <c r="M38" s="8">
        <v>11571</v>
      </c>
      <c r="N38" s="9">
        <f t="shared" si="4"/>
        <v>344</v>
      </c>
      <c r="O38" s="8"/>
      <c r="P38" s="8">
        <f t="shared" si="1"/>
        <v>344</v>
      </c>
      <c r="Q38" s="9">
        <f t="shared" si="5"/>
        <v>338</v>
      </c>
      <c r="R38" s="8"/>
      <c r="S38" s="11">
        <f t="shared" si="3"/>
        <v>338</v>
      </c>
      <c r="DZ38" s="279" t="s">
        <v>602</v>
      </c>
      <c r="EA38" s="293">
        <v>1</v>
      </c>
    </row>
    <row r="39" spans="1:159" ht="17.5" thickBot="1">
      <c r="A39" s="600" t="s">
        <v>26</v>
      </c>
      <c r="B39" s="601"/>
      <c r="C39" s="16" t="s">
        <v>22</v>
      </c>
      <c r="D39" s="17">
        <v>31679</v>
      </c>
      <c r="E39" s="17">
        <v>35570</v>
      </c>
      <c r="F39" s="17">
        <v>67249</v>
      </c>
      <c r="G39" s="17">
        <v>31679</v>
      </c>
      <c r="H39" s="17">
        <v>35557</v>
      </c>
      <c r="I39" s="18">
        <v>67236</v>
      </c>
      <c r="K39" s="600" t="s">
        <v>26</v>
      </c>
      <c r="L39" s="601"/>
      <c r="M39" s="16" t="s">
        <v>22</v>
      </c>
      <c r="N39" s="17">
        <f t="shared" si="4"/>
        <v>41052</v>
      </c>
      <c r="O39" s="17"/>
      <c r="P39" s="17">
        <f t="shared" si="1"/>
        <v>41052</v>
      </c>
      <c r="Q39" s="17">
        <f t="shared" si="5"/>
        <v>40381</v>
      </c>
      <c r="R39" s="17"/>
      <c r="S39" s="18">
        <f t="shared" si="3"/>
        <v>40381</v>
      </c>
    </row>
    <row r="40" spans="1:159" ht="26" thickTop="1">
      <c r="A40" s="204"/>
      <c r="B40" s="19"/>
      <c r="C40" s="20"/>
      <c r="D40" s="21"/>
      <c r="E40" s="21"/>
      <c r="F40" s="21"/>
      <c r="G40" s="21"/>
      <c r="H40" s="21"/>
      <c r="I40" s="21"/>
      <c r="K40" s="19"/>
      <c r="L40" s="19"/>
      <c r="M40" s="20"/>
      <c r="N40" s="21"/>
      <c r="O40" s="21"/>
      <c r="P40" s="21"/>
      <c r="Q40" s="21"/>
      <c r="R40" s="21"/>
      <c r="S40" s="21"/>
      <c r="CS40" t="s">
        <v>487</v>
      </c>
      <c r="CV40" t="s">
        <v>560</v>
      </c>
    </row>
    <row r="41" spans="1:159" s="227" customFormat="1" ht="25.5">
      <c r="A41" s="285">
        <v>2025</v>
      </c>
      <c r="B41" s="282"/>
      <c r="C41" s="283"/>
      <c r="D41" s="284"/>
      <c r="E41" s="284"/>
      <c r="F41" s="284"/>
      <c r="G41" s="284"/>
      <c r="H41" s="284"/>
      <c r="I41" s="284"/>
      <c r="K41" s="282"/>
      <c r="L41" s="282"/>
      <c r="M41" s="283"/>
      <c r="N41" s="284"/>
      <c r="O41" s="284"/>
      <c r="P41" s="284"/>
      <c r="Q41" s="284"/>
      <c r="R41" s="284"/>
      <c r="S41" s="284"/>
    </row>
    <row r="42" spans="1:159" ht="23.5" thickBot="1">
      <c r="A42" s="32" t="s">
        <v>468</v>
      </c>
      <c r="C42" t="s">
        <v>463</v>
      </c>
      <c r="D42" t="s">
        <v>467</v>
      </c>
      <c r="E42" t="s">
        <v>470</v>
      </c>
      <c r="F42" t="s">
        <v>465</v>
      </c>
      <c r="G42" t="s">
        <v>466</v>
      </c>
      <c r="H42" t="s">
        <v>21</v>
      </c>
      <c r="K42" s="32" t="s">
        <v>471</v>
      </c>
      <c r="CV42" s="32" t="s">
        <v>492</v>
      </c>
      <c r="CY42" t="s">
        <v>478</v>
      </c>
      <c r="CZ42" t="s">
        <v>479</v>
      </c>
      <c r="EC42" s="353" t="s">
        <v>857</v>
      </c>
      <c r="EM42" s="353" t="s">
        <v>827</v>
      </c>
      <c r="EV42" s="353"/>
    </row>
    <row r="43" spans="1:159" ht="17.5" thickBot="1">
      <c r="A43" t="s">
        <v>462</v>
      </c>
      <c r="C43" t="s">
        <v>427</v>
      </c>
      <c r="D43" t="s">
        <v>428</v>
      </c>
      <c r="E43" t="s">
        <v>429</v>
      </c>
      <c r="F43" t="s">
        <v>430</v>
      </c>
      <c r="G43" t="s">
        <v>431</v>
      </c>
      <c r="H43" t="s">
        <v>457</v>
      </c>
      <c r="K43" s="159" t="s">
        <v>482</v>
      </c>
      <c r="L43" s="159"/>
      <c r="M43" s="538" t="s">
        <v>463</v>
      </c>
      <c r="N43" s="539"/>
      <c r="O43" s="539"/>
      <c r="P43" s="539"/>
      <c r="Q43" s="539"/>
      <c r="R43" s="539"/>
      <c r="S43" s="539"/>
      <c r="T43" s="539"/>
      <c r="U43" s="539"/>
      <c r="V43" s="539"/>
      <c r="W43" s="539"/>
      <c r="X43" s="539"/>
      <c r="Y43" s="539"/>
      <c r="Z43" s="540"/>
      <c r="AA43" s="538" t="s">
        <v>467</v>
      </c>
      <c r="AB43" s="539"/>
      <c r="AC43" s="539"/>
      <c r="AD43" s="539"/>
      <c r="AE43" s="539"/>
      <c r="AF43" s="539"/>
      <c r="AG43" s="539"/>
      <c r="AH43" s="539"/>
      <c r="AI43" s="539"/>
      <c r="AJ43" s="539"/>
      <c r="AK43" s="539"/>
      <c r="AL43" s="539"/>
      <c r="AM43" s="539"/>
      <c r="AN43" s="540"/>
      <c r="AO43" s="538" t="s">
        <v>464</v>
      </c>
      <c r="AP43" s="539"/>
      <c r="AQ43" s="539"/>
      <c r="AR43" s="539"/>
      <c r="AS43" s="539"/>
      <c r="AT43" s="539"/>
      <c r="AU43" s="539"/>
      <c r="AV43" s="539"/>
      <c r="AW43" s="539"/>
      <c r="AX43" s="539"/>
      <c r="AY43" s="539"/>
      <c r="AZ43" s="539"/>
      <c r="BA43" s="539"/>
      <c r="BB43" s="540"/>
      <c r="BC43" s="538" t="s">
        <v>465</v>
      </c>
      <c r="BD43" s="539"/>
      <c r="BE43" s="539"/>
      <c r="BF43" s="539"/>
      <c r="BG43" s="539"/>
      <c r="BH43" s="539"/>
      <c r="BI43" s="539"/>
      <c r="BJ43" s="539"/>
      <c r="BK43" s="539"/>
      <c r="BL43" s="539"/>
      <c r="BM43" s="539"/>
      <c r="BN43" s="539"/>
      <c r="BO43" s="539"/>
      <c r="BP43" s="540"/>
      <c r="BQ43" s="538" t="s">
        <v>466</v>
      </c>
      <c r="BR43" s="539"/>
      <c r="BS43" s="539"/>
      <c r="BT43" s="539"/>
      <c r="BU43" s="539"/>
      <c r="BV43" s="539"/>
      <c r="BW43" s="539"/>
      <c r="BX43" s="539"/>
      <c r="BY43" s="539"/>
      <c r="BZ43" s="539"/>
      <c r="CA43" s="539"/>
      <c r="CB43" s="539"/>
      <c r="CC43" s="539"/>
      <c r="CD43" s="540"/>
      <c r="CE43" s="538" t="s">
        <v>21</v>
      </c>
      <c r="CF43" s="539"/>
      <c r="CG43" s="539"/>
      <c r="CH43" s="539"/>
      <c r="CI43" s="539"/>
      <c r="CJ43" s="539"/>
      <c r="CK43" s="539"/>
      <c r="CL43" s="539"/>
      <c r="CM43" s="539"/>
      <c r="CN43" s="539"/>
      <c r="CO43" s="539"/>
      <c r="CP43" s="539"/>
      <c r="CQ43" s="539"/>
      <c r="CR43" s="540"/>
      <c r="CV43" s="263" t="s">
        <v>482</v>
      </c>
      <c r="CW43" s="263"/>
      <c r="CX43" s="541" t="s">
        <v>554</v>
      </c>
      <c r="CY43" s="541"/>
      <c r="CZ43" s="541"/>
      <c r="DA43" s="541"/>
      <c r="DB43" s="542" t="s">
        <v>553</v>
      </c>
      <c r="DC43" s="541"/>
      <c r="DD43" s="541"/>
      <c r="DE43" s="541"/>
      <c r="DF43" s="542" t="s">
        <v>464</v>
      </c>
      <c r="DG43" s="541"/>
      <c r="DH43" s="541"/>
      <c r="DI43" s="541"/>
      <c r="DJ43" s="542" t="s">
        <v>465</v>
      </c>
      <c r="DK43" s="541"/>
      <c r="DL43" s="541"/>
      <c r="DM43" s="541"/>
      <c r="DN43" s="542" t="s">
        <v>466</v>
      </c>
      <c r="DO43" s="541"/>
      <c r="DP43" s="541"/>
      <c r="DQ43" s="541"/>
      <c r="DR43" s="542" t="s">
        <v>21</v>
      </c>
      <c r="DS43" s="541"/>
      <c r="DT43" s="541"/>
      <c r="DU43" s="541"/>
      <c r="DW43" s="278"/>
      <c r="DX43" s="278"/>
      <c r="DY43" s="442" t="s">
        <v>588</v>
      </c>
      <c r="DZ43" s="442"/>
      <c r="EI43" t="s">
        <v>599</v>
      </c>
      <c r="ES43" t="s">
        <v>599</v>
      </c>
    </row>
    <row r="44" spans="1:159" ht="17" customHeight="1">
      <c r="A44" s="199"/>
      <c r="B44" s="199"/>
      <c r="C44" s="202" t="s">
        <v>463</v>
      </c>
      <c r="D44" s="202" t="s">
        <v>467</v>
      </c>
      <c r="E44" s="202" t="s">
        <v>464</v>
      </c>
      <c r="F44" s="202" t="s">
        <v>465</v>
      </c>
      <c r="G44" s="202" t="s">
        <v>466</v>
      </c>
      <c r="H44" s="202" t="s">
        <v>21</v>
      </c>
      <c r="K44" s="159"/>
      <c r="L44" s="159"/>
      <c r="M44" s="211" t="s">
        <v>472</v>
      </c>
      <c r="N44" s="160" t="s">
        <v>156</v>
      </c>
      <c r="O44" s="160" t="s">
        <v>475</v>
      </c>
      <c r="P44" s="160" t="s">
        <v>476</v>
      </c>
      <c r="Q44" s="160" t="s">
        <v>477</v>
      </c>
      <c r="R44" s="160" t="s">
        <v>478</v>
      </c>
      <c r="S44" s="160" t="s">
        <v>479</v>
      </c>
      <c r="T44" s="160" t="s">
        <v>480</v>
      </c>
      <c r="U44" s="160" t="s">
        <v>449</v>
      </c>
      <c r="V44" s="160" t="s">
        <v>157</v>
      </c>
      <c r="W44" s="160" t="s">
        <v>473</v>
      </c>
      <c r="X44" s="160" t="s">
        <v>474</v>
      </c>
      <c r="Y44" s="160" t="s">
        <v>46</v>
      </c>
      <c r="Z44" s="212" t="s">
        <v>11</v>
      </c>
      <c r="AA44" s="211" t="s">
        <v>472</v>
      </c>
      <c r="AB44" s="160" t="s">
        <v>156</v>
      </c>
      <c r="AC44" s="160" t="s">
        <v>475</v>
      </c>
      <c r="AD44" s="160" t="s">
        <v>476</v>
      </c>
      <c r="AE44" s="160" t="s">
        <v>477</v>
      </c>
      <c r="AF44" s="160" t="s">
        <v>478</v>
      </c>
      <c r="AG44" s="160" t="s">
        <v>479</v>
      </c>
      <c r="AH44" s="160" t="s">
        <v>480</v>
      </c>
      <c r="AI44" s="160" t="s">
        <v>449</v>
      </c>
      <c r="AJ44" s="160" t="s">
        <v>157</v>
      </c>
      <c r="AK44" s="160" t="s">
        <v>473</v>
      </c>
      <c r="AL44" s="160" t="s">
        <v>474</v>
      </c>
      <c r="AM44" s="160" t="s">
        <v>46</v>
      </c>
      <c r="AN44" s="212" t="s">
        <v>11</v>
      </c>
      <c r="AO44" s="211" t="s">
        <v>472</v>
      </c>
      <c r="AP44" s="160" t="s">
        <v>156</v>
      </c>
      <c r="AQ44" s="160" t="s">
        <v>475</v>
      </c>
      <c r="AR44" s="160" t="s">
        <v>476</v>
      </c>
      <c r="AS44" s="160" t="s">
        <v>477</v>
      </c>
      <c r="AT44" s="160" t="s">
        <v>478</v>
      </c>
      <c r="AU44" s="160" t="s">
        <v>479</v>
      </c>
      <c r="AV44" s="160" t="s">
        <v>480</v>
      </c>
      <c r="AW44" s="160" t="s">
        <v>449</v>
      </c>
      <c r="AX44" s="160" t="s">
        <v>157</v>
      </c>
      <c r="AY44" s="160" t="s">
        <v>473</v>
      </c>
      <c r="AZ44" s="160" t="s">
        <v>474</v>
      </c>
      <c r="BA44" s="160" t="s">
        <v>46</v>
      </c>
      <c r="BB44" s="212" t="s">
        <v>11</v>
      </c>
      <c r="BC44" s="211" t="s">
        <v>472</v>
      </c>
      <c r="BD44" s="160" t="s">
        <v>156</v>
      </c>
      <c r="BE44" s="160" t="s">
        <v>475</v>
      </c>
      <c r="BF44" s="160" t="s">
        <v>476</v>
      </c>
      <c r="BG44" s="160" t="s">
        <v>477</v>
      </c>
      <c r="BH44" s="160" t="s">
        <v>478</v>
      </c>
      <c r="BI44" s="160" t="s">
        <v>479</v>
      </c>
      <c r="BJ44" s="160" t="s">
        <v>480</v>
      </c>
      <c r="BK44" s="160" t="s">
        <v>449</v>
      </c>
      <c r="BL44" s="160" t="s">
        <v>157</v>
      </c>
      <c r="BM44" s="160" t="s">
        <v>473</v>
      </c>
      <c r="BN44" s="160" t="s">
        <v>474</v>
      </c>
      <c r="BO44" s="160" t="s">
        <v>46</v>
      </c>
      <c r="BP44" s="212" t="s">
        <v>11</v>
      </c>
      <c r="BQ44" s="211" t="s">
        <v>472</v>
      </c>
      <c r="BR44" s="160" t="s">
        <v>156</v>
      </c>
      <c r="BS44" s="160" t="s">
        <v>475</v>
      </c>
      <c r="BT44" s="160" t="s">
        <v>476</v>
      </c>
      <c r="BU44" s="160" t="s">
        <v>477</v>
      </c>
      <c r="BV44" s="160" t="s">
        <v>478</v>
      </c>
      <c r="BW44" s="160" t="s">
        <v>479</v>
      </c>
      <c r="BX44" s="160" t="s">
        <v>480</v>
      </c>
      <c r="BY44" s="160" t="s">
        <v>449</v>
      </c>
      <c r="BZ44" s="160" t="s">
        <v>157</v>
      </c>
      <c r="CA44" s="160" t="s">
        <v>473</v>
      </c>
      <c r="CB44" s="160" t="s">
        <v>474</v>
      </c>
      <c r="CC44" s="160" t="s">
        <v>46</v>
      </c>
      <c r="CD44" s="212" t="s">
        <v>11</v>
      </c>
      <c r="CE44" s="211" t="s">
        <v>472</v>
      </c>
      <c r="CF44" s="160" t="s">
        <v>156</v>
      </c>
      <c r="CG44" s="160" t="s">
        <v>475</v>
      </c>
      <c r="CH44" s="160" t="s">
        <v>476</v>
      </c>
      <c r="CI44" s="160" t="s">
        <v>477</v>
      </c>
      <c r="CJ44" s="160" t="s">
        <v>478</v>
      </c>
      <c r="CK44" s="160" t="s">
        <v>479</v>
      </c>
      <c r="CL44" s="160" t="s">
        <v>480</v>
      </c>
      <c r="CM44" s="160" t="s">
        <v>449</v>
      </c>
      <c r="CN44" s="160" t="s">
        <v>157</v>
      </c>
      <c r="CO44" s="160" t="s">
        <v>473</v>
      </c>
      <c r="CP44" s="160" t="s">
        <v>474</v>
      </c>
      <c r="CQ44" s="160" t="s">
        <v>46</v>
      </c>
      <c r="CR44" s="212" t="s">
        <v>11</v>
      </c>
      <c r="CV44" s="263"/>
      <c r="CW44" s="263"/>
      <c r="CX44" s="264" t="s">
        <v>156</v>
      </c>
      <c r="CY44" s="264" t="s">
        <v>478</v>
      </c>
      <c r="CZ44" s="264" t="s">
        <v>479</v>
      </c>
      <c r="DA44" s="264" t="s">
        <v>157</v>
      </c>
      <c r="DB44" s="264" t="s">
        <v>156</v>
      </c>
      <c r="DC44" s="264" t="s">
        <v>478</v>
      </c>
      <c r="DD44" s="264" t="s">
        <v>479</v>
      </c>
      <c r="DE44" s="264" t="s">
        <v>157</v>
      </c>
      <c r="DF44" s="264" t="s">
        <v>156</v>
      </c>
      <c r="DG44" s="264" t="s">
        <v>478</v>
      </c>
      <c r="DH44" s="264" t="s">
        <v>479</v>
      </c>
      <c r="DI44" s="264" t="s">
        <v>157</v>
      </c>
      <c r="DJ44" s="264" t="s">
        <v>156</v>
      </c>
      <c r="DK44" s="264" t="s">
        <v>478</v>
      </c>
      <c r="DL44" s="264" t="s">
        <v>479</v>
      </c>
      <c r="DM44" s="264" t="s">
        <v>157</v>
      </c>
      <c r="DN44" s="264" t="s">
        <v>156</v>
      </c>
      <c r="DO44" s="264" t="s">
        <v>478</v>
      </c>
      <c r="DP44" s="264" t="s">
        <v>479</v>
      </c>
      <c r="DQ44" s="264" t="s">
        <v>157</v>
      </c>
      <c r="DR44" s="264" t="s">
        <v>156</v>
      </c>
      <c r="DS44" s="264" t="s">
        <v>478</v>
      </c>
      <c r="DT44" s="264" t="s">
        <v>479</v>
      </c>
      <c r="DU44" s="264" t="s">
        <v>157</v>
      </c>
      <c r="DW44" s="278"/>
      <c r="DX44" s="278"/>
      <c r="DY44" s="280" t="s">
        <v>586</v>
      </c>
      <c r="DZ44" s="280" t="s">
        <v>587</v>
      </c>
      <c r="EC44" s="412" t="s">
        <v>564</v>
      </c>
      <c r="ED44" s="412" t="s">
        <v>565</v>
      </c>
      <c r="EE44" s="412" t="s">
        <v>566</v>
      </c>
      <c r="EF44" s="412" t="s">
        <v>562</v>
      </c>
      <c r="EG44" s="417" t="s">
        <v>597</v>
      </c>
      <c r="EH44" s="418" t="s">
        <v>585</v>
      </c>
      <c r="EI44" s="419" t="s">
        <v>259</v>
      </c>
      <c r="EJ44" s="377" t="s">
        <v>821</v>
      </c>
      <c r="EM44" s="278" t="s">
        <v>564</v>
      </c>
      <c r="EN44" s="278" t="s">
        <v>565</v>
      </c>
      <c r="EO44" s="278" t="s">
        <v>566</v>
      </c>
      <c r="EP44" s="278" t="s">
        <v>562</v>
      </c>
      <c r="EQ44" s="286" t="s">
        <v>597</v>
      </c>
      <c r="ER44" s="287" t="s">
        <v>585</v>
      </c>
      <c r="ES44" s="288" t="s">
        <v>604</v>
      </c>
      <c r="ET44" s="377" t="s">
        <v>821</v>
      </c>
      <c r="EV44" s="34"/>
      <c r="EW44" s="34"/>
      <c r="EX44" s="34"/>
      <c r="EY44" s="34"/>
      <c r="EZ44" s="375"/>
      <c r="FA44" s="376"/>
      <c r="FB44" s="377"/>
      <c r="FC44" s="377"/>
    </row>
    <row r="45" spans="1:159" ht="16.5" customHeight="1">
      <c r="A45" s="205"/>
      <c r="B45" s="205" t="s">
        <v>12</v>
      </c>
      <c r="C45" s="400">
        <f>'A.일산테크노밸리(859991)_수정'!$P28*KTDB_TripDistribution_2040!L$12 * (1 + KTDB_발생량도착량_증가율!$D$7*5) * (1 + KTDB_발생량도착량_증가율!$E$7*5) * (1 + KTDB_발생량도착량_증가율!$F$7*5)</f>
        <v>17.732949544566811</v>
      </c>
      <c r="D45" s="400">
        <f>'A.일산테크노밸리(859991)_수정'!$P28*KTDB_TripDistribution_2040!M$12 * (1 + KTDB_발생량도착량_증가율!$D$7*5) * (1 + KTDB_발생량도착량_증가율!$E$7*5) * (1 + KTDB_발생량도착량_증가율!$F$7*5)</f>
        <v>137.89378042016682</v>
      </c>
      <c r="E45" s="400">
        <f>'A.일산테크노밸리(859991)_수정'!$P28*KTDB_TripDistribution_2040!N$12 * (1 + KTDB_발생량도착량_증가율!$D$7*5) * (1 + KTDB_발생량도착량_증가율!$E$7*5) * (1 + KTDB_발생량도착량_증가율!$F$7*5)</f>
        <v>6.1121905074550558</v>
      </c>
      <c r="F45" s="400">
        <f>'A.일산테크노밸리(859991)_수정'!$P28*KTDB_TripDistribution_2040!O$12 * (1 + KTDB_발생량도착량_증가율!$D$7*5) * (1 + KTDB_발생량도착량_증가율!$E$7*5) * (1 + KTDB_발생량도착량_증가율!$F$7*5)</f>
        <v>1.6575431884623796E-2</v>
      </c>
      <c r="G45" s="400">
        <f>'A.일산테크노밸리(859991)_수정'!$P28*KTDB_TripDistribution_2040!P$12 * (1 + KTDB_발생량도착량_증가율!$D$7*5) * (1 + KTDB_발생량도착량_증가율!$E$7*5) * (1 + KTDB_발생량도착량_증가율!$F$7*5)</f>
        <v>4.6963723673101136E-2</v>
      </c>
      <c r="H45" s="400">
        <f>'A.일산테크노밸리(859991)_수정'!$P28*KTDB_TripDistribution_2040!Q$12 * (1 + KTDB_발생량도착량_증가율!$D$7*5) * (1 + KTDB_발생량도착량_증가율!$E$7*5) * (1 + KTDB_발생량도착량_증가율!$F$7*5)</f>
        <v>161.8024596277464</v>
      </c>
      <c r="J45" s="230">
        <f t="shared" ref="J45:J56" si="6">CR45</f>
        <v>161.80245962774643</v>
      </c>
      <c r="K45" s="206"/>
      <c r="L45" s="209" t="s">
        <v>12</v>
      </c>
      <c r="M45" s="213">
        <f>INDEX($A$44:$H$56,MATCH($L45,$B$44:$B$56,0),MATCH($M$43,$A$44:$H$44,0))*고양시_Modal_split!C$3 * 0.01</f>
        <v>4.9652258724787068E-2</v>
      </c>
      <c r="N45" s="207">
        <f>INDEX($A$44:$H$56,MATCH($L45,$B$44:$B$56,0),MATCH($M$43,$A$44:$H$44,0))*고양시_Modal_split!D$3 * 0.01</f>
        <v>8.339806170809771</v>
      </c>
      <c r="O45" s="207">
        <f>INDEX($A$44:$H$56,MATCH($L45,$B$44:$B$56,0),MATCH($M$43,$A$44:$H$44,0))*고양시_Modal_split!E$3 * 0.01</f>
        <v>1.0090048290858515</v>
      </c>
      <c r="P45" s="207">
        <f>INDEX($A$44:$H$56,MATCH($L45,$B$44:$B$56,0),MATCH($M$43,$A$44:$H$44,0))*고양시_Modal_split!F$3 * 0.01</f>
        <v>1.6261114732367765</v>
      </c>
      <c r="Q45" s="207">
        <f>INDEX($A$44:$H$56,MATCH($L45,$B$44:$B$56,0),MATCH($M$43,$A$44:$H$44,0))*고양시_Modal_split!G$3 * 0.01</f>
        <v>0.16314313581001463</v>
      </c>
      <c r="R45" s="207">
        <f>INDEX($A$44:$H$56,MATCH($L45,$B$44:$B$56,0),MATCH($M$43,$A$44:$H$44,0))*고양시_Modal_split!H$3 * 0.01</f>
        <v>1.7732949544566811E-3</v>
      </c>
      <c r="S45" s="207">
        <f>INDEX($A$44:$H$56,MATCH($L45,$B$44:$B$56,0),MATCH($M$43,$A$44:$H$44,0))*고양시_Modal_split!I$3 * 0.01</f>
        <v>0.49297599733895731</v>
      </c>
      <c r="T45" s="207">
        <f>INDEX($A$44:$H$56,MATCH($L45,$B$44:$B$56,0),MATCH($M$43,$A$44:$H$44,0))*고양시_Modal_split!J$3 * 0.01</f>
        <v>5.3979098413661371</v>
      </c>
      <c r="U45" s="207">
        <f>INDEX($A$44:$H$56,MATCH($L45,$B$44:$B$56,0),MATCH($M$43,$A$44:$H$44,0))*고양시_Modal_split!K$3 * 0.01</f>
        <v>2.6599424316850216E-2</v>
      </c>
      <c r="V45" s="207">
        <f>INDEX($A$44:$H$56,MATCH($L45,$B$44:$B$56,0),MATCH($M$43,$A$44:$H$44,0))*고양시_Modal_split!L$3 * 0.01</f>
        <v>0.53553507624591767</v>
      </c>
      <c r="W45" s="207">
        <f>INDEX($A$44:$H$56,MATCH($L45,$B$44:$B$56,0),MATCH($M$43,$A$44:$H$44,0))*고양시_Modal_split!M$3 * 0.01</f>
        <v>4.0785783952503658E-2</v>
      </c>
      <c r="X45" s="207">
        <f>INDEX($A$44:$H$56,MATCH($L45,$B$44:$B$56,0),MATCH($M$43,$A$44:$H$44,0))*고양시_Modal_split!N$3 * 0.01</f>
        <v>1.7732949544566813E-2</v>
      </c>
      <c r="Y45" s="207">
        <f>INDEX($A$44:$H$56,MATCH($L45,$B$44:$B$56,0),MATCH($M$43,$A$44:$H$44,0))*고양시_Modal_split!O$3 * 0.01</f>
        <v>3.1919309180220255E-2</v>
      </c>
      <c r="Z45" s="214">
        <f>INDEX($A$44:$H$56,MATCH($L45,$B$44:$B$56,0),MATCH($M$43,$A$44:$H$44,0))*고양시_Modal_split!P$3 * 0.01</f>
        <v>17.732949544566811</v>
      </c>
      <c r="AA45" s="213">
        <f>INDEX($A$44:$H$56,MATCH($L45,$B$44:$B$56,0),MATCH($AA$43,$A$44:$H$44,0))*고양시_Modal_split!C$4 * 0.01</f>
        <v>41.974866759898781</v>
      </c>
      <c r="AB45" s="207">
        <f>INDEX($A$44:$H$56,MATCH($L45,$B$44:$B$56,0),MATCH($AA$43,$A$44:$H$44,0))*고양시_Modal_split!D$4 * 0.01</f>
        <v>44.222535380747502</v>
      </c>
      <c r="AC45" s="207">
        <f>INDEX($A$44:$H$56,MATCH($L45,$B$44:$B$56,0),MATCH($AA$43,$A$44:$H$44,0))*고양시_Modal_split!E$4 * 0.01</f>
        <v>10.714346738646961</v>
      </c>
      <c r="AD45" s="207">
        <f>INDEX($A$44:$H$56,MATCH($L45,$B$44:$B$56,0),MATCH($AA$43,$A$44:$H$44,0))*고양시_Modal_split!F$4 * 0.01</f>
        <v>1.3099909139915846</v>
      </c>
      <c r="AE45" s="207">
        <f>INDEX($A$44:$H$56,MATCH($L45,$B$44:$B$56,0),MATCH($AA$43,$A$44:$H$44,0))*고양시_Modal_split!G$4 * 0.01</f>
        <v>16.147361687201531</v>
      </c>
      <c r="AF45" s="207">
        <f>INDEX($A$44:$H$56,MATCH($L45,$B$44:$B$56,0),MATCH($AA$43,$A$44:$H$44,0))*고양시_Modal_split!H$4 * 0.01</f>
        <v>0</v>
      </c>
      <c r="AG45" s="207">
        <f>INDEX($A$44:$H$56,MATCH($L45,$B$44:$B$56,0),MATCH($AA$43,$A$44:$H$44,0))*고양시_Modal_split!I$4 * 0.01</f>
        <v>4.7987035586218045</v>
      </c>
      <c r="AH45" s="207">
        <f>INDEX($A$44:$H$56,MATCH($L45,$B$44:$B$56,0),MATCH($AA$43,$A$44:$H$44,0))*고양시_Modal_split!J$4 * 0.01</f>
        <v>6.4947970577898575</v>
      </c>
      <c r="AI45" s="207">
        <f>INDEX($A$44:$H$56,MATCH($L45,$B$44:$B$56,0),MATCH($AA$43,$A$44:$H$44,0))*고양시_Modal_split!K$4 * 0.01</f>
        <v>0</v>
      </c>
      <c r="AJ45" s="207">
        <f>INDEX($A$44:$H$56,MATCH($L45,$B$44:$B$56,0),MATCH($AA$43,$A$44:$H$44,0))*고양시_Modal_split!L$4 * 0.01</f>
        <v>6.3706926554117072</v>
      </c>
      <c r="AK45" s="207">
        <f>INDEX($A$44:$H$56,MATCH($L45,$B$44:$B$56,0),MATCH($AA$43,$A$44:$H$44,0))*고양시_Modal_split!M$4 * 0.01</f>
        <v>0.92388832881511773</v>
      </c>
      <c r="AL45" s="207">
        <f>INDEX($A$44:$H$56,MATCH($L45,$B$44:$B$56,0),MATCH($AA$43,$A$44:$H$44,0))*고양시_Modal_split!N$4 * 0.01</f>
        <v>3.4473445105041707</v>
      </c>
      <c r="AM45" s="207">
        <f>INDEX($A$44:$H$56,MATCH($L45,$B$44:$B$56,0),MATCH($AA$43,$A$44:$H$44,0))*고양시_Modal_split!O$4 * 0.01</f>
        <v>1.4892528285378017</v>
      </c>
      <c r="AN45" s="214">
        <f>INDEX($A$44:$H$56,MATCH($L45,$B$44:$B$56,0),MATCH($AA$43,$A$44:$H$44,0))*고양시_Modal_split!P$4 * 0.01</f>
        <v>137.89378042016682</v>
      </c>
      <c r="AO45" s="213">
        <f>INDEX($A$44:$H$56,MATCH($L45,$B$44:$B$56,0),MATCH($AO$43,$A$44:$H$44,0))*고양시_Modal_split!C$5 * 0.01</f>
        <v>3.6673143044730332E-3</v>
      </c>
      <c r="AP45" s="207">
        <f>INDEX($A$44:$H$56,MATCH($L45,$B$44:$B$56,0),MATCH($AO$43,$A$44:$H$44,0))*고양시_Modal_split!D$5 * 0.01</f>
        <v>4.4790132038630652</v>
      </c>
      <c r="AQ45" s="207">
        <f>INDEX($A$44:$H$56,MATCH($L45,$B$44:$B$56,0),MATCH($AO$43,$A$44:$H$44,0))*고양시_Modal_split!E$5 * 0.01</f>
        <v>0.60205076498432297</v>
      </c>
      <c r="AR45" s="207">
        <f>INDEX($A$44:$H$56,MATCH($L45,$B$44:$B$56,0),MATCH($AO$43,$A$44:$H$44,0))*고양시_Modal_split!F$5 * 0.01</f>
        <v>0.12835600065655617</v>
      </c>
      <c r="AS45" s="207">
        <f>INDEX($A$44:$H$56,MATCH($L45,$B$44:$B$56,0),MATCH($AO$43,$A$44:$H$44,0))*고양시_Modal_split!G$5 * 0.01</f>
        <v>3.9729238298457863E-2</v>
      </c>
      <c r="AT45" s="207">
        <f>INDEX($A$44:$H$56,MATCH($L45,$B$44:$B$56,0),MATCH($AO$43,$A$44:$H$44,0))*고양시_Modal_split!H$5 * 0.01</f>
        <v>4.2785333552185388E-3</v>
      </c>
      <c r="AU45" s="207">
        <f>INDEX($A$44:$H$56,MATCH($L45,$B$44:$B$56,0),MATCH($AO$43,$A$44:$H$44,0))*고양시_Modal_split!I$5 * 0.01</f>
        <v>0.16930767705650504</v>
      </c>
      <c r="AV45" s="207">
        <f>INDEX($A$44:$H$56,MATCH($L45,$B$44:$B$56,0),MATCH($AO$43,$A$44:$H$44,0))*고양시_Modal_split!J$5 * 0.01</f>
        <v>0.38323434481743207</v>
      </c>
      <c r="AW45" s="207">
        <f>INDEX($A$44:$H$56,MATCH($L45,$B$44:$B$56,0),MATCH($AO$43,$A$44:$H$44,0))*고양시_Modal_split!K$5 * 0.01</f>
        <v>1.2224381014910111E-3</v>
      </c>
      <c r="AX45" s="207">
        <f>INDEX($A$44:$H$56,MATCH($L45,$B$44:$B$56,0),MATCH($AO$43,$A$44:$H$44,0))*고양시_Modal_split!L$5 * 0.01</f>
        <v>0.1558608579401039</v>
      </c>
      <c r="AY45" s="207">
        <f>INDEX($A$44:$H$56,MATCH($L45,$B$44:$B$56,0),MATCH($AO$43,$A$44:$H$44,0))*고양시_Modal_split!M$5 * 0.01</f>
        <v>4.0951676399948872E-2</v>
      </c>
      <c r="AZ45" s="207">
        <f>INDEX($A$44:$H$56,MATCH($L45,$B$44:$B$56,0),MATCH($AO$43,$A$44:$H$44,0))*고양시_Modal_split!N$5 * 0.01</f>
        <v>1.0390723862673595E-2</v>
      </c>
      <c r="BA45" s="207">
        <f>INDEX($A$44:$H$56,MATCH($L45,$B$44:$B$56,0),MATCH($AO$43,$A$44:$H$44,0))*고양시_Modal_split!O$5 * 0.01</f>
        <v>9.4127733814807865E-2</v>
      </c>
      <c r="BB45" s="214">
        <f>INDEX($A$44:$H$56,MATCH($L45,$B$44:$B$56,0),MATCH($AO$43,$A$44:$H$44,0))*고양시_Modal_split!P$5 * 0.01</f>
        <v>6.1121905074550549</v>
      </c>
      <c r="BC45" s="213">
        <f>INDEX($A$44:$H$56,MATCH($L45,$B$44:$B$56,0),MATCH($BC$43,$A$44:$H$44,0))*고양시_Modal_split!C$6 * 0.01</f>
        <v>0</v>
      </c>
      <c r="BD45" s="207">
        <f>INDEX($A$44:$H$56,MATCH($L45,$B$44:$B$56,0),MATCH($BC$43,$A$44:$H$44,0))*고양시_Modal_split!D$6 * 0.01</f>
        <v>1.3726115143656964E-2</v>
      </c>
      <c r="BE45" s="207">
        <f>INDEX($A$44:$H$56,MATCH($L45,$B$44:$B$56,0),MATCH($BC$43,$A$44:$H$44,0))*고양시_Modal_split!E$6 * 0.01</f>
        <v>7.1274357103882322E-5</v>
      </c>
      <c r="BF45" s="207">
        <f>INDEX($A$44:$H$56,MATCH($L45,$B$44:$B$56,0),MATCH($BC$43,$A$44:$H$44,0))*고양시_Modal_split!F$6 * 0.01</f>
        <v>2.0222026899241029E-4</v>
      </c>
      <c r="BG45" s="207">
        <f>INDEX($A$44:$H$56,MATCH($L45,$B$44:$B$56,0),MATCH($BC$43,$A$44:$H$44,0))*고양시_Modal_split!G$6 * 0.01</f>
        <v>0</v>
      </c>
      <c r="BH45" s="207">
        <f>INDEX($A$44:$H$56,MATCH($L45,$B$44:$B$56,0),MATCH($BC$43,$A$44:$H$44,0))*고양시_Modal_split!H$6 * 0.01</f>
        <v>8.8015543307352374E-4</v>
      </c>
      <c r="BI45" s="207">
        <f>INDEX($A$44:$H$56,MATCH($L45,$B$44:$B$56,0),MATCH($BC$43,$A$44:$H$44,0))*고양시_Modal_split!I$6 * 0.01</f>
        <v>5.8677028871568246E-4</v>
      </c>
      <c r="BJ45" s="207">
        <f>INDEX($A$44:$H$56,MATCH($L45,$B$44:$B$56,0),MATCH($BC$43,$A$44:$H$44,0))*고양시_Modal_split!J$6 * 0.01</f>
        <v>8.1882633510041544E-4</v>
      </c>
      <c r="BK45" s="207">
        <f>INDEX($A$44:$H$56,MATCH($L45,$B$44:$B$56,0),MATCH($BC$43,$A$44:$H$44,0))*고양시_Modal_split!K$6 * 0.01</f>
        <v>0</v>
      </c>
      <c r="BL45" s="207">
        <f>INDEX($A$44:$H$56,MATCH($L45,$B$44:$B$56,0),MATCH($BC$43,$A$44:$H$44,0))*고양시_Modal_split!L$6 * 0.01</f>
        <v>1.2597328232314084E-4</v>
      </c>
      <c r="BM45" s="207">
        <f>INDEX($A$44:$H$56,MATCH($L45,$B$44:$B$56,0),MATCH($BC$43,$A$44:$H$44,0))*고양시_Modal_split!M$6 * 0.01</f>
        <v>1.5083643015007656E-4</v>
      </c>
      <c r="BN45" s="207">
        <f>INDEX($A$44:$H$56,MATCH($L45,$B$44:$B$56,0),MATCH($BC$43,$A$44:$H$44,0))*고양시_Modal_split!N$6 * 0.01</f>
        <v>0</v>
      </c>
      <c r="BO45" s="207">
        <f>INDEX($A$44:$H$56,MATCH($L45,$B$44:$B$56,0),MATCH($BC$43,$A$44:$H$44,0))*고양시_Modal_split!O$6 * 0.01</f>
        <v>1.3260345507699037E-5</v>
      </c>
      <c r="BP45" s="214">
        <f>INDEX($A$44:$H$56,MATCH($L45,$B$44:$B$56,0),MATCH($BC$43,$A$44:$H$44,0))*고양시_Modal_split!P$6 * 0.01</f>
        <v>1.6575431884623796E-2</v>
      </c>
      <c r="BQ45" s="213">
        <f>INDEX($A$44:$H$56,MATCH($L45,$B$44:$B$56,0),MATCH($BQ$43,$A$44:$H$44,0))*고양시_Modal_split!C$7 * 0.01</f>
        <v>0</v>
      </c>
      <c r="BR45" s="207">
        <f>INDEX($A$44:$H$56,MATCH($L45,$B$44:$B$56,0),MATCH($BQ$43,$A$44:$H$44,0))*고양시_Modal_split!D$7 * 0.01</f>
        <v>2.8779369866876379E-2</v>
      </c>
      <c r="BS45" s="207">
        <f>INDEX($A$44:$H$56,MATCH($L45,$B$44:$B$56,0),MATCH($BQ$43,$A$44:$H$44,0))*고양시_Modal_split!E$7 * 0.01</f>
        <v>1.4042153378257239E-3</v>
      </c>
      <c r="BT45" s="207">
        <f>INDEX($A$44:$H$56,MATCH($L45,$B$44:$B$56,0),MATCH($BQ$43,$A$44:$H$44,0))*고양시_Modal_split!F$7 * 0.01</f>
        <v>4.6963723673101138E-4</v>
      </c>
      <c r="BU45" s="207">
        <f>INDEX($A$44:$H$56,MATCH($L45,$B$44:$B$56,0),MATCH($BQ$43,$A$44:$H$44,0))*고양시_Modal_split!G$7 * 0.01</f>
        <v>1.9724763942702479E-4</v>
      </c>
      <c r="BV45" s="207">
        <f>INDEX($A$44:$H$56,MATCH($L45,$B$44:$B$56,0),MATCH($BQ$43,$A$44:$H$44,0))*고양시_Modal_split!H$7 * 0.01</f>
        <v>2.6252721533263535E-3</v>
      </c>
      <c r="BW45" s="207">
        <f>INDEX($A$44:$H$56,MATCH($L45,$B$44:$B$56,0),MATCH($BQ$43,$A$44:$H$44,0))*고양시_Modal_split!I$7 * 0.01</f>
        <v>8.7681272097679831E-3</v>
      </c>
      <c r="BX45" s="207">
        <f>INDEX($A$44:$H$56,MATCH($L45,$B$44:$B$56,0),MATCH($BQ$43,$A$44:$H$44,0))*고양시_Modal_split!J$7 * 0.01</f>
        <v>9.3927447346202277E-6</v>
      </c>
      <c r="BY45" s="207">
        <f>INDEX($A$44:$H$56,MATCH($L45,$B$44:$B$56,0),MATCH($BQ$43,$A$44:$H$44,0))*고양시_Modal_split!K$7 * 0.01</f>
        <v>3.6162067228287876E-3</v>
      </c>
      <c r="BZ45" s="207">
        <f>INDEX($A$44:$H$56,MATCH($L45,$B$44:$B$56,0),MATCH($BQ$43,$A$44:$H$44,0))*고양시_Modal_split!L$7 * 0.01</f>
        <v>3.2874606571170791E-5</v>
      </c>
      <c r="CA45" s="207">
        <f>INDEX($A$44:$H$56,MATCH($L45,$B$44:$B$56,0),MATCH($BQ$43,$A$44:$H$44,0))*고양시_Modal_split!M$7 * 0.01</f>
        <v>8.7822163268699133E-4</v>
      </c>
      <c r="CB45" s="207">
        <f>INDEX($A$44:$H$56,MATCH($L45,$B$44:$B$56,0),MATCH($BQ$43,$A$44:$H$44,0))*고양시_Modal_split!N$7 * 0.01</f>
        <v>1.8315852232509444E-4</v>
      </c>
      <c r="CC45" s="207">
        <f>INDEX($A$44:$H$56,MATCH($L45,$B$44:$B$56,0),MATCH($BQ$43,$A$44:$H$44,0))*고양시_Modal_split!O$7 * 0.01</f>
        <v>0</v>
      </c>
      <c r="CD45" s="214">
        <f>INDEX($A$44:$H$56,MATCH($L45,$B$44:$B$56,0),MATCH($BQ$43,$A$44:$H$44,0))*고양시_Modal_split!P$7 * 0.01</f>
        <v>4.6963723673101136E-2</v>
      </c>
      <c r="CE45" s="218">
        <f>M45+AA45+AO45+BC45+BQ45</f>
        <v>42.028186332928037</v>
      </c>
      <c r="CF45" s="208">
        <f t="shared" ref="CF45:CF56" si="7">N45+AB45+AP45+BD45+BR45</f>
        <v>57.083860240430873</v>
      </c>
      <c r="CG45" s="208">
        <f t="shared" ref="CG45:CG56" si="8">O45+AC45+AQ45+BE45+BS45</f>
        <v>12.326877822412065</v>
      </c>
      <c r="CH45" s="208">
        <f t="shared" ref="CH45:CH56" si="9">P45+AD45+AR45+BF45+BT45</f>
        <v>3.0651302453906411</v>
      </c>
      <c r="CI45" s="208">
        <f t="shared" ref="CI45:CI56" si="10">Q45+AE45+AS45+BG45+BU45</f>
        <v>16.350431308949432</v>
      </c>
      <c r="CJ45" s="208">
        <f t="shared" ref="CJ45:CJ56" si="11">R45+AF45+AT45+BH45+BV45</f>
        <v>9.5572558960750967E-3</v>
      </c>
      <c r="CK45" s="208">
        <f t="shared" ref="CK45:CK56" si="12">S45+AG45+AU45+BI45+BW45</f>
        <v>5.4703421305157507</v>
      </c>
      <c r="CL45" s="208">
        <f t="shared" ref="CL45:CL56" si="13">T45+AH45+AV45+BJ45+BX45</f>
        <v>12.276769463053261</v>
      </c>
      <c r="CM45" s="208">
        <f t="shared" ref="CM45:CM56" si="14">U45+AI45+AW45+BK45+BY45</f>
        <v>3.1438069141170012E-2</v>
      </c>
      <c r="CN45" s="208">
        <f t="shared" ref="CN45:CN56" si="15">V45+AJ45+AX45+BL45+BZ45</f>
        <v>7.0622474374866222</v>
      </c>
      <c r="CO45" s="208">
        <f t="shared" ref="CO45:CO56" si="16">W45+AK45+AY45+BM45+CA45</f>
        <v>1.0066548472304073</v>
      </c>
      <c r="CP45" s="208">
        <f t="shared" ref="CP45:CP56" si="17">X45+AL45+AZ45+BN45+CB45</f>
        <v>3.4756513424337361</v>
      </c>
      <c r="CQ45" s="208">
        <f t="shared" ref="CQ45:CQ56" si="18">Y45+AM45+BA45+BO45+CC45</f>
        <v>1.6153131318783376</v>
      </c>
      <c r="CR45" s="219">
        <f t="shared" ref="CR45:CR56" si="19">Z45+AN45+BB45+BP45+CD45</f>
        <v>161.80245962774643</v>
      </c>
      <c r="CS45" s="225">
        <f>H45-CR45</f>
        <v>0</v>
      </c>
      <c r="CV45" s="265"/>
      <c r="CW45" s="266" t="s">
        <v>12</v>
      </c>
      <c r="CX45" s="267">
        <f>INDEX($M$43:$Z$56,MATCH($CW45,$L$43:$L$56,0),MATCH(CX$44,$M$44:$Z$44,0))/INDEX(고양시_재차인원!$D$4:$H$35,MATCH("고양시",고양시_재차인원!$B$4:$B$35,0),MATCH('A.일산테크노밸리(859991)_수정'!$CX$43,고양시_재차인원!$D$4:$H$4,0))</f>
        <v>7.4462555096515803</v>
      </c>
      <c r="CY45" s="267">
        <f>INDEX($M$43:$Z$56,MATCH($CW45,$L$43:$L$56,0),MATCH(CY$44,$M$44:$Z$44,0))/INDEX(고양시_재차인원!$K$4:$O$20,MATCH("경기도",고양시_재차인원!$K$4:$K$20,0),MATCH('A.일산테크노밸리(859991)_수정'!CY$44,고양시_재차인원!$K$4:$O$4,0))</f>
        <v>6.1594128324302919E-5</v>
      </c>
      <c r="CZ45" s="267">
        <f>INDEX($M$43:$Z$56,MATCH($CW45,$L$43:$L$56,0),MATCH(CZ$44,$M$44:$Z$44,0))/INDEX(고양시_재차인원!$K$4:$O$20,MATCH("경기도",고양시_재차인원!$K$4:$K$20,0),MATCH('A.일산테크노밸리(859991)_수정'!CZ$44,고양시_재차인원!$K$4:$O$4,0))</f>
        <v>1.7123167674156212E-2</v>
      </c>
      <c r="DA45" s="267">
        <f>INDEX($M$43:$Z$56,MATCH($CW45,$L$43:$L$56,0),MATCH(DA$44,$M$44:$Z$44,0))/INDEX(고양시_재차인원!$K$4:$O$20,MATCH("경기도",고양시_재차인원!$K$4:$K$20,0),MATCH('A.일산테크노밸리(859991)_수정'!DA$44,고양시_재차인원!$K$4:$O$4,0))</f>
        <v>0.35702338416394513</v>
      </c>
      <c r="DB45" s="267">
        <f>INDEX($AA$43:$AN$56,MATCH($CW45,$L$43:$L$56,0),MATCH(DB$44,$AA$44:$AN$44,0))/INDEX(고양시_재차인원!$D$4:$H$35,MATCH("고양시",고양시_재차인원!$B$4:$B$35,0),MATCH('A.일산테크노밸리(859991)_수정'!$DB$43,고양시_재차인원!$D$4:$H$4,0))</f>
        <v>31.36350027003369</v>
      </c>
      <c r="DC45" s="267">
        <f>INDEX($AA$43:$AN$56,MATCH($CW45,$L$43:$L$56,0),MATCH(DC$44,$AA$44:$AN$44,0))/INDEX(고양시_재차인원!$K$4:$O$20,MATCH("경기도",고양시_재차인원!$K$4:$K$20,0),MATCH('A.일산테크노밸리(859991)_수정'!DC$44,고양시_재차인원!$K$4:$O$4,0))</f>
        <v>0</v>
      </c>
      <c r="DD45" s="267">
        <f>INDEX($AA$43:$AN$56,MATCH($CW45,$L$43:$L$56,0),MATCH(DD$44,$AA$44:$AN$44,0))/INDEX(고양시_재차인원!$K$4:$O$20,MATCH("경기도",고양시_재차인원!$K$4:$K$20,0),MATCH('A.일산테크노밸리(859991)_수정'!DD$44,고양시_재차인원!$K$4:$O$4,0))</f>
        <v>0.16667952617651283</v>
      </c>
      <c r="DE45" s="267">
        <f>INDEX($AA$43:$AN$56,MATCH($CW45,$L$43:$L$56,0),MATCH(DE$44,$AA$44:$AN$44,0))/INDEX(고양시_재차인원!$K$4:$O$20,MATCH("경기도",고양시_재차인원!$K$4:$K$20,0),MATCH('A.일산테크노밸리(859991)_수정'!DE$44,고양시_재차인원!$K$4:$O$4,0))</f>
        <v>4.2471284369411384</v>
      </c>
      <c r="DF45" s="267">
        <f>INDEX($AO$43:$BB$56,MATCH($CW45,$L$43:$L$56,0),MATCH(DF$44,$AO$44:$BB$44,0))/INDEX(고양시_재차인원!$D$4:$H$35,MATCH("고양시",고양시_재차인원!$B$4:$B$35,0),MATCH('A.일산테크노밸리(859991)_수정'!$DF$43,고양시_재차인원!$D$4:$H$4,0))</f>
        <v>3.4453947722023579</v>
      </c>
      <c r="DG45" s="267">
        <f>INDEX($AO$43:$BB$56,MATCH($CW45,$L$43:$L$56,0),MATCH(DG$44,$AO$44:$BB$44,0))/INDEX(고양시_재차인원!$K$4:$O$20,MATCH("경기도",고양시_재차인원!$K$4:$K$20,0),MATCH('A.일산테크노밸리(859991)_수정'!DG$44,고양시_재차인원!$K$4:$O$4,0))</f>
        <v>1.4861178726010904E-4</v>
      </c>
      <c r="DH45" s="267">
        <f>INDEX($AO$43:$BB$56,MATCH($CW45,$L$43:$L$56,0),MATCH(DH$44,$AO$44:$BB$44,0))/INDEX(고양시_재차인원!$K$4:$O$20,MATCH("경기도",고양시_재차인원!$K$4:$K$20,0),MATCH('A.일산테크노밸리(859991)_수정'!DH$44,고양시_재차인원!$K$4:$O$4,0))</f>
        <v>5.8807807244357435E-3</v>
      </c>
      <c r="DI45" s="267">
        <f>INDEX($AO$43:$BB$56,MATCH($CW45,$L$43:$L$56,0),MATCH(DI$44,$AO$44:$BB$44,0))/INDEX(고양시_재차인원!$K$4:$O$20,MATCH("경기도",고양시_재차인원!$K$4:$K$20,0),MATCH('A.일산테크노밸리(859991)_수정'!DI$44,고양시_재차인원!$K$4:$O$4,0))</f>
        <v>0.10390723862673594</v>
      </c>
      <c r="DJ45" s="268">
        <f>INDEX($BC$43:$BP$56,MATCH($CW45,$L$43:$L$56,0),MATCH(DJ$44,$BC$44:$BP$44,0))/INDEX(고양시_재차인원!$D$4:$H$35,MATCH("고양시",고양시_재차인원!$B$4:$B$35,0),MATCH('A.일산테크노밸리(859991)_수정'!$DJ$43,고양시_재차인원!$D$4:$H$4,0))</f>
        <v>1.0092731723277178E-2</v>
      </c>
      <c r="DK45" s="267">
        <f>INDEX($BC$43:$BP$56,MATCH($CW45,$L$43:$L$56,0),MATCH(DK$44,$BC$44:$BP$44,0))/INDEX(고양시_재차인원!$K$4:$O$20,MATCH("경기도",고양시_재차인원!$K$4:$K$20,0),MATCH('A.일산테크노밸리(859991)_수정'!DK$44,고양시_재차인원!$K$4:$O$4,0))</f>
        <v>3.0571567664936564E-5</v>
      </c>
      <c r="DL45" s="267">
        <f>INDEX($BC$43:$BP$56,MATCH($CW45,$L$43:$L$56,0),MATCH(DL$44,$BC$44:$BP$44,0))/INDEX(고양시_재차인원!$K$4:$O$20,MATCH("경기도",고양시_재차인원!$K$4:$K$20,0),MATCH('A.일산테크노밸리(859991)_수정'!DL$44,고양시_재차인원!$K$4:$O$4,0))</f>
        <v>2.0381045109957711E-5</v>
      </c>
      <c r="DM45" s="267">
        <f>INDEX($BC$43:$BP$56,MATCH($CW45,$L$43:$L$56,0),MATCH(DM$44,$BC$44:$BP$44,0))/INDEX(고양시_재차인원!$K$4:$O$20,MATCH("경기도",고양시_재차인원!$K$4:$K$20,0),MATCH('A.일산테크노밸리(859991)_수정'!DM$44,고양시_재차인원!$K$4:$O$4,0))</f>
        <v>8.3982188215427222E-5</v>
      </c>
      <c r="DN45" s="268">
        <f>INDEX($BQ$43:$CD$56,MATCH($CW45,$L$43:$L$56,0),MATCH(DN$44,$BQ$44:$CD$44,0))/INDEX(고양시_재차인원!$D$4:$H$35,MATCH("고양시",고양시_재차인원!$B$4:$B$35,0),MATCH('A.일산테크노밸리(859991)_수정'!$DN$43,고양시_재차인원!$D$4:$H$4,0))</f>
        <v>2.2840769735616172E-2</v>
      </c>
      <c r="DO45" s="267">
        <f>INDEX($BQ$43:$CD$56,MATCH($CW45,$L$43:$L$56,0),MATCH(DO$44,$BQ$44:$CD$44,0))/INDEX(고양시_재차인원!$K$4:$O$20,MATCH("경기도",고양시_재차인원!$K$4:$K$20,0),MATCH('A.일산테크노밸리(859991)_수정'!DO$44,고양시_재차인원!$K$4:$O$4,0))</f>
        <v>9.1186945235371776E-5</v>
      </c>
      <c r="DP45" s="267">
        <f>INDEX($BQ$43:$CD$56,MATCH($CW45,$L$43:$L$56,0),MATCH(DP$44,$BQ$44:$CD$44,0))/INDEX(고양시_재차인원!$K$4:$O$20,MATCH("경기도",고양시_재차인원!$K$4:$K$20,0),MATCH('A.일산테크노밸리(859991)_수정'!DP$44,고양시_재차인원!$K$4:$O$4,0))</f>
        <v>3.045546095786031E-4</v>
      </c>
      <c r="DQ45" s="267">
        <f>INDEX($BQ$43:$CD$56,MATCH($CW45,$L$43:$L$56,0),MATCH(DQ$44,$BQ$44:$CD$44,0))/INDEX(고양시_재차인원!$K$4:$O$20,MATCH("경기도",고양시_재차인원!$K$4:$K$20,0),MATCH('A.일산테크노밸리(859991)_수정'!DQ$44,고양시_재차인원!$K$4:$O$4,0))</f>
        <v>2.1916404380780527E-5</v>
      </c>
      <c r="DR45" s="269">
        <f>CX45+DB45+DF45+DJ45+DN45</f>
        <v>42.288084053346516</v>
      </c>
      <c r="DS45" s="270">
        <f t="shared" ref="DS45:DS56" si="20">CY45+DC45+DG45+DK45+DO45</f>
        <v>3.3196442848472027E-4</v>
      </c>
      <c r="DT45" s="270">
        <f t="shared" ref="DT45:DT56" si="21">CZ45+DD45+DH45+DL45+DP45</f>
        <v>0.19000841022979334</v>
      </c>
      <c r="DU45" s="270">
        <f t="shared" ref="DU45:DU56" si="22">DA45+DE45+DI45+DM45+DQ45</f>
        <v>4.7081649583244154</v>
      </c>
      <c r="DW45" s="278"/>
      <c r="DX45" s="278" t="s">
        <v>589</v>
      </c>
      <c r="DY45" s="281">
        <f>DR45+DU45</f>
        <v>46.996249011670933</v>
      </c>
      <c r="DZ45" s="281">
        <f>DS45+DT45</f>
        <v>0.19034037465827805</v>
      </c>
      <c r="EC45" s="412" t="s">
        <v>12</v>
      </c>
      <c r="ED45" s="412" t="s">
        <v>567</v>
      </c>
      <c r="EE45" s="412">
        <v>11477.778199999999</v>
      </c>
      <c r="EF45" s="412">
        <v>1</v>
      </c>
      <c r="EG45" s="413">
        <v>859001</v>
      </c>
      <c r="EH45" s="414">
        <f>VLOOKUP($EM45,$DX$44:$DZ$53,2,FALSE)*$EF45*$BB$11*(1-$BD$7)</f>
        <v>45.65685591483831</v>
      </c>
      <c r="EI45" s="415">
        <f>VLOOKUP($EM45,$DX$44:$DZ$53,3,FALSE)*$EF45*$BB$11*(1-$BD$7)</f>
        <v>0.18491567398051714</v>
      </c>
      <c r="EJ45" s="402">
        <v>0</v>
      </c>
      <c r="EM45" s="278" t="s">
        <v>12</v>
      </c>
      <c r="EN45" s="278" t="s">
        <v>567</v>
      </c>
      <c r="EO45" s="278">
        <v>11477.778199999999</v>
      </c>
      <c r="EP45" s="278">
        <v>1</v>
      </c>
      <c r="EQ45" s="289">
        <v>859001</v>
      </c>
      <c r="ER45" s="290">
        <f>EH45*$EA$38</f>
        <v>45.65685591483831</v>
      </c>
      <c r="ES45" s="291">
        <f t="shared" ref="ES45:ES89" si="23">EI45*$EA$38</f>
        <v>0.18491567398051714</v>
      </c>
      <c r="ET45" s="402">
        <v>0</v>
      </c>
      <c r="EV45" s="34"/>
      <c r="EW45" s="34"/>
      <c r="EX45" s="34"/>
      <c r="EY45" s="34"/>
      <c r="EZ45" s="378"/>
      <c r="FA45" s="401"/>
      <c r="FB45" s="402"/>
      <c r="FC45" s="402"/>
    </row>
    <row r="46" spans="1:159" ht="16.5" customHeight="1">
      <c r="A46" s="205"/>
      <c r="B46" s="205" t="s">
        <v>13</v>
      </c>
      <c r="C46" s="400">
        <f>'A.일산테크노밸리(859991)_수정'!$P29*KTDB_TripDistribution_2040!L$12 * (1 + KTDB_발생량도착량_증가율!$D$7*5) * (1 + KTDB_발생량도착량_증가율!$E$7*5) * (1 + KTDB_발생량도착량_증가율!$F$7*5)</f>
        <v>14.394982571471884</v>
      </c>
      <c r="D46" s="400">
        <f>'A.일산테크노밸리(859991)_수정'!$P29*KTDB_TripDistribution_2040!M$12 * (1 + KTDB_발생량도착량_증가율!$D$7*5) * (1 + KTDB_발생량도착량_증가율!$E$7*5) * (1 + KTDB_발생량도착량_증가율!$F$7*5)</f>
        <v>111.93730410578247</v>
      </c>
      <c r="E46" s="400">
        <f>'A.일산테크노밸리(859991)_수정'!$P29*KTDB_TripDistribution_2040!N$12 * (1 + KTDB_발생량도착량_증가율!$D$7*5) * (1 + KTDB_발생량도착량_증가율!$E$7*5) * (1 + KTDB_발생량도착량_증가율!$F$7*5)</f>
        <v>4.9616605295811631</v>
      </c>
      <c r="F46" s="400">
        <f>'A.일산테크노밸리(859991)_수정'!$P29*KTDB_TripDistribution_2040!O$12 * (1 + KTDB_발생량도착량_증가율!$D$7*5) * (1 + KTDB_발생량도착량_증가율!$E$7*5) * (1 + KTDB_발생량도착량_증가율!$F$7*5)</f>
        <v>1.345535058869461E-2</v>
      </c>
      <c r="G46" s="400">
        <f>'A.일산테크노밸리(859991)_수정'!$P29*KTDB_TripDistribution_2040!P$12 * (1 + KTDB_발생량도착량_증가율!$D$7*5) * (1 + KTDB_발생량도착량_증가율!$E$7*5) * (1 + KTDB_발생량도착량_증가율!$F$7*5)</f>
        <v>3.8123493334635029E-2</v>
      </c>
      <c r="H46" s="400">
        <f>'A.일산테크노밸리(859991)_수정'!$P29*KTDB_TripDistribution_2040!Q$12 * (1 + KTDB_발생량도착량_증가율!$D$7*5) * (1 + KTDB_발생량도착량_증가율!$E$7*5) * (1 + KTDB_발생량도착량_증가율!$F$7*5)</f>
        <v>131.34552605075885</v>
      </c>
      <c r="J46" s="230">
        <f t="shared" si="6"/>
        <v>131.34552605075885</v>
      </c>
      <c r="K46" s="206"/>
      <c r="L46" s="209" t="s">
        <v>13</v>
      </c>
      <c r="M46" s="213">
        <f>INDEX($A$44:$H$56,MATCH($L46,$B$44:$B$56,0),MATCH($M$43,$A$44:$H$44,0))*고양시_Modal_split!C$3 * 0.01</f>
        <v>4.0305951200121273E-2</v>
      </c>
      <c r="N46" s="207">
        <f>INDEX($A$44:$H$56,MATCH($L46,$B$44:$B$56,0),MATCH($M$43,$A$44:$H$44,0))*고양시_Modal_split!D$3 * 0.01</f>
        <v>6.7699603033632272</v>
      </c>
      <c r="O46" s="207">
        <f>INDEX($A$44:$H$56,MATCH($L46,$B$44:$B$56,0),MATCH($M$43,$A$44:$H$44,0))*고양시_Modal_split!E$3 * 0.01</f>
        <v>0.81907450831675011</v>
      </c>
      <c r="P46" s="207">
        <f>INDEX($A$44:$H$56,MATCH($L46,$B$44:$B$56,0),MATCH($M$43,$A$44:$H$44,0))*고양시_Modal_split!F$3 * 0.01</f>
        <v>1.3200199018039718</v>
      </c>
      <c r="Q46" s="207">
        <f>INDEX($A$44:$H$56,MATCH($L46,$B$44:$B$56,0),MATCH($M$43,$A$44:$H$44,0))*고양시_Modal_split!G$3 * 0.01</f>
        <v>0.13243383965754132</v>
      </c>
      <c r="R46" s="207">
        <f>INDEX($A$44:$H$56,MATCH($L46,$B$44:$B$56,0),MATCH($M$43,$A$44:$H$44,0))*고양시_Modal_split!H$3 * 0.01</f>
        <v>1.4394982571471885E-3</v>
      </c>
      <c r="S46" s="207">
        <f>INDEX($A$44:$H$56,MATCH($L46,$B$44:$B$56,0),MATCH($M$43,$A$44:$H$44,0))*고양시_Modal_split!I$3 * 0.01</f>
        <v>0.40018051548691835</v>
      </c>
      <c r="T46" s="207">
        <f>INDEX($A$44:$H$56,MATCH($L46,$B$44:$B$56,0),MATCH($M$43,$A$44:$H$44,0))*고양시_Modal_split!J$3 * 0.01</f>
        <v>4.3818326947560413</v>
      </c>
      <c r="U46" s="207">
        <f>INDEX($A$44:$H$56,MATCH($L46,$B$44:$B$56,0),MATCH($M$43,$A$44:$H$44,0))*고양시_Modal_split!K$3 * 0.01</f>
        <v>2.1592473857207826E-2</v>
      </c>
      <c r="V46" s="207">
        <f>INDEX($A$44:$H$56,MATCH($L46,$B$44:$B$56,0),MATCH($M$43,$A$44:$H$44,0))*고양시_Modal_split!L$3 * 0.01</f>
        <v>0.43472847365845091</v>
      </c>
      <c r="W46" s="207">
        <f>INDEX($A$44:$H$56,MATCH($L46,$B$44:$B$56,0),MATCH($M$43,$A$44:$H$44,0))*고양시_Modal_split!M$3 * 0.01</f>
        <v>3.3108459914385331E-2</v>
      </c>
      <c r="X46" s="207">
        <f>INDEX($A$44:$H$56,MATCH($L46,$B$44:$B$56,0),MATCH($M$43,$A$44:$H$44,0))*고양시_Modal_split!N$3 * 0.01</f>
        <v>1.4394982571471884E-2</v>
      </c>
      <c r="Y46" s="207">
        <f>INDEX($A$44:$H$56,MATCH($L46,$B$44:$B$56,0),MATCH($M$43,$A$44:$H$44,0))*고양시_Modal_split!O$3 * 0.01</f>
        <v>2.5910968628649389E-2</v>
      </c>
      <c r="Z46" s="214">
        <f>INDEX($A$44:$H$56,MATCH($L46,$B$44:$B$56,0),MATCH($M$43,$A$44:$H$44,0))*고양시_Modal_split!P$3 * 0.01</f>
        <v>14.394982571471884</v>
      </c>
      <c r="AA46" s="213">
        <f>INDEX($A$44:$H$56,MATCH($L46,$B$44:$B$56,0),MATCH($AA$43,$A$44:$H$44,0))*고양시_Modal_split!C$4 * 0.01</f>
        <v>34.07371536980019</v>
      </c>
      <c r="AB46" s="207">
        <f>INDEX($A$44:$H$56,MATCH($L46,$B$44:$B$56,0),MATCH($AA$43,$A$44:$H$44,0))*고양시_Modal_split!D$4 * 0.01</f>
        <v>35.898293426724443</v>
      </c>
      <c r="AC46" s="207">
        <f>INDEX($A$44:$H$56,MATCH($L46,$B$44:$B$56,0),MATCH($AA$43,$A$44:$H$44,0))*고양시_Modal_split!E$4 * 0.01</f>
        <v>8.6975285290192978</v>
      </c>
      <c r="AD46" s="207">
        <f>INDEX($A$44:$H$56,MATCH($L46,$B$44:$B$56,0),MATCH($AA$43,$A$44:$H$44,0))*고양시_Modal_split!F$4 * 0.01</f>
        <v>1.0634043890049334</v>
      </c>
      <c r="AE46" s="207">
        <f>INDEX($A$44:$H$56,MATCH($L46,$B$44:$B$56,0),MATCH($AA$43,$A$44:$H$44,0))*고양시_Modal_split!G$4 * 0.01</f>
        <v>13.107858310787126</v>
      </c>
      <c r="AF46" s="207">
        <f>INDEX($A$44:$H$56,MATCH($L46,$B$44:$B$56,0),MATCH($AA$43,$A$44:$H$44,0))*고양시_Modal_split!H$4 * 0.01</f>
        <v>0</v>
      </c>
      <c r="AG46" s="207">
        <f>INDEX($A$44:$H$56,MATCH($L46,$B$44:$B$56,0),MATCH($AA$43,$A$44:$H$44,0))*고양시_Modal_split!I$4 * 0.01</f>
        <v>3.8954181828812295</v>
      </c>
      <c r="AH46" s="207">
        <f>INDEX($A$44:$H$56,MATCH($L46,$B$44:$B$56,0),MATCH($AA$43,$A$44:$H$44,0))*고양시_Modal_split!J$4 * 0.01</f>
        <v>5.2722470233823548</v>
      </c>
      <c r="AI46" s="207">
        <f>INDEX($A$44:$H$56,MATCH($L46,$B$44:$B$56,0),MATCH($AA$43,$A$44:$H$44,0))*고양시_Modal_split!K$4 * 0.01</f>
        <v>0</v>
      </c>
      <c r="AJ46" s="207">
        <f>INDEX($A$44:$H$56,MATCH($L46,$B$44:$B$56,0),MATCH($AA$43,$A$44:$H$44,0))*고양시_Modal_split!L$4 * 0.01</f>
        <v>5.1715034496871501</v>
      </c>
      <c r="AK46" s="207">
        <f>INDEX($A$44:$H$56,MATCH($L46,$B$44:$B$56,0),MATCH($AA$43,$A$44:$H$44,0))*고양시_Modal_split!M$4 * 0.01</f>
        <v>0.74997993750874259</v>
      </c>
      <c r="AL46" s="207">
        <f>INDEX($A$44:$H$56,MATCH($L46,$B$44:$B$56,0),MATCH($AA$43,$A$44:$H$44,0))*고양시_Modal_split!N$4 * 0.01</f>
        <v>2.7984326026445623</v>
      </c>
      <c r="AM46" s="207">
        <f>INDEX($A$44:$H$56,MATCH($L46,$B$44:$B$56,0),MATCH($AA$43,$A$44:$H$44,0))*고양시_Modal_split!O$4 * 0.01</f>
        <v>1.2089228843424509</v>
      </c>
      <c r="AN46" s="214">
        <f>INDEX($A$44:$H$56,MATCH($L46,$B$44:$B$56,0),MATCH($AA$43,$A$44:$H$44,0))*고양시_Modal_split!P$4 * 0.01</f>
        <v>111.93730410578247</v>
      </c>
      <c r="AO46" s="213">
        <f>INDEX($A$44:$H$56,MATCH($L46,$B$44:$B$56,0),MATCH($AO$43,$A$44:$H$44,0))*고양시_Modal_split!C$5 * 0.01</f>
        <v>2.976996317748698E-3</v>
      </c>
      <c r="AP46" s="207">
        <f>INDEX($A$44:$H$56,MATCH($L46,$B$44:$B$56,0),MATCH($AO$43,$A$44:$H$44,0))*고양시_Modal_split!D$5 * 0.01</f>
        <v>3.6359048360770765</v>
      </c>
      <c r="AQ46" s="207">
        <f>INDEX($A$44:$H$56,MATCH($L46,$B$44:$B$56,0),MATCH($AO$43,$A$44:$H$44,0))*고양시_Modal_split!E$5 * 0.01</f>
        <v>0.48872356216374457</v>
      </c>
      <c r="AR46" s="207">
        <f>INDEX($A$44:$H$56,MATCH($L46,$B$44:$B$56,0),MATCH($AO$43,$A$44:$H$44,0))*고양시_Modal_split!F$5 * 0.01</f>
        <v>0.10419487112120443</v>
      </c>
      <c r="AS46" s="207">
        <f>INDEX($A$44:$H$56,MATCH($L46,$B$44:$B$56,0),MATCH($AO$43,$A$44:$H$44,0))*고양시_Modal_split!G$5 * 0.01</f>
        <v>3.2250793442277562E-2</v>
      </c>
      <c r="AT46" s="207">
        <f>INDEX($A$44:$H$56,MATCH($L46,$B$44:$B$56,0),MATCH($AO$43,$A$44:$H$44,0))*고양시_Modal_split!H$5 * 0.01</f>
        <v>3.4731623707068139E-3</v>
      </c>
      <c r="AU46" s="207">
        <f>INDEX($A$44:$H$56,MATCH($L46,$B$44:$B$56,0),MATCH($AO$43,$A$44:$H$44,0))*고양시_Modal_split!I$5 * 0.01</f>
        <v>0.13743799666939821</v>
      </c>
      <c r="AV46" s="207">
        <f>INDEX($A$44:$H$56,MATCH($L46,$B$44:$B$56,0),MATCH($AO$43,$A$44:$H$44,0))*고양시_Modal_split!J$5 * 0.01</f>
        <v>0.31109611520473895</v>
      </c>
      <c r="AW46" s="207">
        <f>INDEX($A$44:$H$56,MATCH($L46,$B$44:$B$56,0),MATCH($AO$43,$A$44:$H$44,0))*고양시_Modal_split!K$5 * 0.01</f>
        <v>9.9233210591623267E-4</v>
      </c>
      <c r="AX46" s="207">
        <f>INDEX($A$44:$H$56,MATCH($L46,$B$44:$B$56,0),MATCH($AO$43,$A$44:$H$44,0))*고양시_Modal_split!L$5 * 0.01</f>
        <v>0.12652234350431965</v>
      </c>
      <c r="AY46" s="207">
        <f>INDEX($A$44:$H$56,MATCH($L46,$B$44:$B$56,0),MATCH($AO$43,$A$44:$H$44,0))*고양시_Modal_split!M$5 * 0.01</f>
        <v>3.3243125548193794E-2</v>
      </c>
      <c r="AZ46" s="207">
        <f>INDEX($A$44:$H$56,MATCH($L46,$B$44:$B$56,0),MATCH($AO$43,$A$44:$H$44,0))*고양시_Modal_split!N$5 * 0.01</f>
        <v>8.4348229002879759E-3</v>
      </c>
      <c r="BA46" s="207">
        <f>INDEX($A$44:$H$56,MATCH($L46,$B$44:$B$56,0),MATCH($AO$43,$A$44:$H$44,0))*고양시_Modal_split!O$5 * 0.01</f>
        <v>7.6409572155549915E-2</v>
      </c>
      <c r="BB46" s="214">
        <f>INDEX($A$44:$H$56,MATCH($L46,$B$44:$B$56,0),MATCH($AO$43,$A$44:$H$44,0))*고양시_Modal_split!P$5 * 0.01</f>
        <v>4.9616605295811631</v>
      </c>
      <c r="BC46" s="213">
        <f>INDEX($A$44:$H$56,MATCH($L46,$B$44:$B$56,0),MATCH($BC$43,$A$44:$H$44,0))*고양시_Modal_split!C$6 * 0.01</f>
        <v>0</v>
      </c>
      <c r="BD46" s="207">
        <f>INDEX($A$44:$H$56,MATCH($L46,$B$44:$B$56,0),MATCH($BC$43,$A$44:$H$44,0))*고양시_Modal_split!D$6 * 0.01</f>
        <v>1.1142375822498005E-2</v>
      </c>
      <c r="BE46" s="207">
        <f>INDEX($A$44:$H$56,MATCH($L46,$B$44:$B$56,0),MATCH($BC$43,$A$44:$H$44,0))*고양시_Modal_split!E$6 * 0.01</f>
        <v>5.7858007531386824E-5</v>
      </c>
      <c r="BF46" s="207">
        <f>INDEX($A$44:$H$56,MATCH($L46,$B$44:$B$56,0),MATCH($BC$43,$A$44:$H$44,0))*고양시_Modal_split!F$6 * 0.01</f>
        <v>1.6415527718207423E-4</v>
      </c>
      <c r="BG46" s="207">
        <f>INDEX($A$44:$H$56,MATCH($L46,$B$44:$B$56,0),MATCH($BC$43,$A$44:$H$44,0))*고양시_Modal_split!G$6 * 0.01</f>
        <v>0</v>
      </c>
      <c r="BH46" s="207">
        <f>INDEX($A$44:$H$56,MATCH($L46,$B$44:$B$56,0),MATCH($BC$43,$A$44:$H$44,0))*고양시_Modal_split!H$6 * 0.01</f>
        <v>7.1447911625968392E-4</v>
      </c>
      <c r="BI46" s="207">
        <f>INDEX($A$44:$H$56,MATCH($L46,$B$44:$B$56,0),MATCH($BC$43,$A$44:$H$44,0))*고양시_Modal_split!I$6 * 0.01</f>
        <v>4.7631941083978917E-4</v>
      </c>
      <c r="BJ46" s="207">
        <f>INDEX($A$44:$H$56,MATCH($L46,$B$44:$B$56,0),MATCH($BC$43,$A$44:$H$44,0))*고양시_Modal_split!J$6 * 0.01</f>
        <v>6.6469431908151367E-4</v>
      </c>
      <c r="BK46" s="207">
        <f>INDEX($A$44:$H$56,MATCH($L46,$B$44:$B$56,0),MATCH($BC$43,$A$44:$H$44,0))*고양시_Modal_split!K$6 * 0.01</f>
        <v>0</v>
      </c>
      <c r="BL46" s="207">
        <f>INDEX($A$44:$H$56,MATCH($L46,$B$44:$B$56,0),MATCH($BC$43,$A$44:$H$44,0))*고양시_Modal_split!L$6 * 0.01</f>
        <v>1.0226066447407903E-4</v>
      </c>
      <c r="BM46" s="207">
        <f>INDEX($A$44:$H$56,MATCH($L46,$B$44:$B$56,0),MATCH($BC$43,$A$44:$H$44,0))*고양시_Modal_split!M$6 * 0.01</f>
        <v>1.2244369035712096E-4</v>
      </c>
      <c r="BN46" s="207">
        <f>INDEX($A$44:$H$56,MATCH($L46,$B$44:$B$56,0),MATCH($BC$43,$A$44:$H$44,0))*고양시_Modal_split!N$6 * 0.01</f>
        <v>0</v>
      </c>
      <c r="BO46" s="207">
        <f>INDEX($A$44:$H$56,MATCH($L46,$B$44:$B$56,0),MATCH($BC$43,$A$44:$H$44,0))*고양시_Modal_split!O$6 * 0.01</f>
        <v>1.0764280470955689E-5</v>
      </c>
      <c r="BP46" s="214">
        <f>INDEX($A$44:$H$56,MATCH($L46,$B$44:$B$56,0),MATCH($BC$43,$A$44:$H$44,0))*고양시_Modal_split!P$6 * 0.01</f>
        <v>1.345535058869461E-2</v>
      </c>
      <c r="BQ46" s="213">
        <f>INDEX($A$44:$H$56,MATCH($L46,$B$44:$B$56,0),MATCH($BQ$43,$A$44:$H$44,0))*고양시_Modal_split!C$7 * 0.01</f>
        <v>0</v>
      </c>
      <c r="BR46" s="207">
        <f>INDEX($A$44:$H$56,MATCH($L46,$B$44:$B$56,0),MATCH($BQ$43,$A$44:$H$44,0))*고양시_Modal_split!D$7 * 0.01</f>
        <v>2.336207671546435E-2</v>
      </c>
      <c r="BS46" s="207">
        <f>INDEX($A$44:$H$56,MATCH($L46,$B$44:$B$56,0),MATCH($BQ$43,$A$44:$H$44,0))*고양시_Modal_split!E$7 * 0.01</f>
        <v>1.1398924507055872E-3</v>
      </c>
      <c r="BT46" s="207">
        <f>INDEX($A$44:$H$56,MATCH($L46,$B$44:$B$56,0),MATCH($BQ$43,$A$44:$H$44,0))*고양시_Modal_split!F$7 * 0.01</f>
        <v>3.8123493334635028E-4</v>
      </c>
      <c r="BU46" s="207">
        <f>INDEX($A$44:$H$56,MATCH($L46,$B$44:$B$56,0),MATCH($BQ$43,$A$44:$H$44,0))*고양시_Modal_split!G$7 * 0.01</f>
        <v>1.6011867200546712E-4</v>
      </c>
      <c r="BV46" s="207">
        <f>INDEX($A$44:$H$56,MATCH($L46,$B$44:$B$56,0),MATCH($BQ$43,$A$44:$H$44,0))*고양시_Modal_split!H$7 * 0.01</f>
        <v>2.1311032774060982E-3</v>
      </c>
      <c r="BW46" s="207">
        <f>INDEX($A$44:$H$56,MATCH($L46,$B$44:$B$56,0),MATCH($BQ$43,$A$44:$H$44,0))*고양시_Modal_split!I$7 * 0.01</f>
        <v>7.1176562055763606E-3</v>
      </c>
      <c r="BX46" s="207">
        <f>INDEX($A$44:$H$56,MATCH($L46,$B$44:$B$56,0),MATCH($BQ$43,$A$44:$H$44,0))*고양시_Modal_split!J$7 * 0.01</f>
        <v>7.6246986669270056E-6</v>
      </c>
      <c r="BY46" s="207">
        <f>INDEX($A$44:$H$56,MATCH($L46,$B$44:$B$56,0),MATCH($BQ$43,$A$44:$H$44,0))*고양시_Modal_split!K$7 * 0.01</f>
        <v>2.9355089867668972E-3</v>
      </c>
      <c r="BZ46" s="207">
        <f>INDEX($A$44:$H$56,MATCH($L46,$B$44:$B$56,0),MATCH($BQ$43,$A$44:$H$44,0))*고양시_Modal_split!L$7 * 0.01</f>
        <v>2.6686445334244519E-5</v>
      </c>
      <c r="CA46" s="207">
        <f>INDEX($A$44:$H$56,MATCH($L46,$B$44:$B$56,0),MATCH($BQ$43,$A$44:$H$44,0))*고양시_Modal_split!M$7 * 0.01</f>
        <v>7.1290932535767512E-4</v>
      </c>
      <c r="CB46" s="207">
        <f>INDEX($A$44:$H$56,MATCH($L46,$B$44:$B$56,0),MATCH($BQ$43,$A$44:$H$44,0))*고양시_Modal_split!N$7 * 0.01</f>
        <v>1.486816240050766E-4</v>
      </c>
      <c r="CC46" s="207">
        <f>INDEX($A$44:$H$56,MATCH($L46,$B$44:$B$56,0),MATCH($BQ$43,$A$44:$H$44,0))*고양시_Modal_split!O$7 * 0.01</f>
        <v>0</v>
      </c>
      <c r="CD46" s="214">
        <f>INDEX($A$44:$H$56,MATCH($L46,$B$44:$B$56,0),MATCH($BQ$43,$A$44:$H$44,0))*고양시_Modal_split!P$7 * 0.01</f>
        <v>3.8123493334635029E-2</v>
      </c>
      <c r="CE46" s="218">
        <f t="shared" ref="CE46:CE56" si="24">M46+AA46+AO46+BC46+BQ46</f>
        <v>34.116998317318057</v>
      </c>
      <c r="CF46" s="208">
        <f t="shared" si="7"/>
        <v>46.338663018702711</v>
      </c>
      <c r="CG46" s="208">
        <f t="shared" si="8"/>
        <v>10.006524349958029</v>
      </c>
      <c r="CH46" s="208">
        <f t="shared" si="9"/>
        <v>2.4881645521406384</v>
      </c>
      <c r="CI46" s="208">
        <f t="shared" si="10"/>
        <v>13.27270306255895</v>
      </c>
      <c r="CJ46" s="208">
        <f t="shared" si="11"/>
        <v>7.758243021519784E-3</v>
      </c>
      <c r="CK46" s="208">
        <f t="shared" si="12"/>
        <v>4.4406306706539622</v>
      </c>
      <c r="CL46" s="208">
        <f t="shared" si="13"/>
        <v>9.9658481523608824</v>
      </c>
      <c r="CM46" s="208">
        <f t="shared" si="14"/>
        <v>2.5520314949890956E-2</v>
      </c>
      <c r="CN46" s="208">
        <f t="shared" si="15"/>
        <v>5.7328832139597292</v>
      </c>
      <c r="CO46" s="208">
        <f t="shared" si="16"/>
        <v>0.81716687598703652</v>
      </c>
      <c r="CP46" s="208">
        <f t="shared" si="17"/>
        <v>2.8214110897403275</v>
      </c>
      <c r="CQ46" s="208">
        <f t="shared" si="18"/>
        <v>1.3112541894071212</v>
      </c>
      <c r="CR46" s="219">
        <f t="shared" si="19"/>
        <v>131.34552605075885</v>
      </c>
      <c r="CS46" s="225">
        <f t="shared" ref="CS46:CS56" si="25">H46-CR46</f>
        <v>0</v>
      </c>
      <c r="CV46" s="265"/>
      <c r="CW46" s="266" t="s">
        <v>13</v>
      </c>
      <c r="CX46" s="267">
        <f>INDEX($M$43:$Z$56,MATCH($CW46,$L$43:$L$56,0),MATCH(CX$44,$M$44:$Z$44,0))/INDEX(고양시_재차인원!$D$4:$H$35,MATCH("고양시",고양시_재차인원!$B$4:$B$35,0),MATCH('A.일산테크노밸리(859991)_수정'!$CX$43,고양시_재차인원!$D$4:$H$4,0))</f>
        <v>6.0446074137171664</v>
      </c>
      <c r="CY46" s="267">
        <f>INDEX($M$43:$Z$56,MATCH($CW46,$L$43:$L$56,0),MATCH(CY$44,$M$44:$Z$44,0))/INDEX(고양시_재차인원!$K$4:$O$20,MATCH("경기도",고양시_재차인원!$K$4:$K$20,0),MATCH('A.일산테크노밸리(859991)_수정'!CY$44,고양시_재차인원!$K$4:$O$4,0))</f>
        <v>4.9999939463257676E-5</v>
      </c>
      <c r="CZ46" s="267">
        <f>INDEX($M$43:$Z$56,MATCH($CW46,$L$43:$L$56,0),MATCH(CZ$44,$M$44:$Z$44,0))/INDEX(고양시_재차인원!$K$4:$O$20,MATCH("경기도",고양시_재차인원!$K$4:$K$20,0),MATCH('A.일산테크노밸리(859991)_수정'!CZ$44,고양시_재차인원!$K$4:$O$4,0))</f>
        <v>1.3899983170785633E-2</v>
      </c>
      <c r="DA46" s="267">
        <f>INDEX($M$43:$Z$56,MATCH($CW46,$L$43:$L$56,0),MATCH(DA$44,$M$44:$Z$44,0))/INDEX(고양시_재차인원!$K$4:$O$20,MATCH("경기도",고양시_재차인원!$K$4:$K$20,0),MATCH('A.일산테크노밸리(859991)_수정'!DA$44,고양시_재차인원!$K$4:$O$4,0))</f>
        <v>0.28981898243896725</v>
      </c>
      <c r="DB46" s="268">
        <f>INDEX($AA$43:$AN$56,MATCH($CW46,$L$43:$L$56,0),MATCH(DB$44,$AA$44:$AN$44,0))/INDEX(고양시_재차인원!$D$4:$H$35,MATCH("고양시",고양시_재차인원!$B$4:$B$35,0),MATCH('A.일산테크노밸리(859991)_수정'!$DB$43,고양시_재차인원!$D$4:$H$4,0))</f>
        <v>25.459782572144995</v>
      </c>
      <c r="DC46" s="267">
        <f>INDEX($AA$43:$AN$56,MATCH($CW46,$L$43:$L$56,0),MATCH(DC$44,$AA$44:$AN$44,0))/INDEX(고양시_재차인원!$K$4:$O$20,MATCH("경기도",고양시_재차인원!$K$4:$K$20,0),MATCH('A.일산테크노밸리(859991)_수정'!DC$44,고양시_재차인원!$K$4:$O$4,0))</f>
        <v>0</v>
      </c>
      <c r="DD46" s="267">
        <f>INDEX($AA$43:$AN$56,MATCH($CW46,$L$43:$L$56,0),MATCH(DD$44,$AA$44:$AN$44,0))/INDEX(고양시_재차인원!$K$4:$O$20,MATCH("경기도",고양시_재차인원!$K$4:$K$20,0),MATCH('A.일산테크노밸리(859991)_수정'!DD$44,고양시_재차인원!$K$4:$O$4,0))</f>
        <v>0.13530455654328688</v>
      </c>
      <c r="DE46" s="267">
        <f>INDEX($AA$43:$AN$56,MATCH($CW46,$L$43:$L$56,0),MATCH(DE$44,$AA$44:$AN$44,0))/INDEX(고양시_재차인원!$K$4:$O$20,MATCH("경기도",고양시_재차인원!$K$4:$K$20,0),MATCH('A.일산테크노밸리(859991)_수정'!DE$44,고양시_재차인원!$K$4:$O$4,0))</f>
        <v>3.4476689664580999</v>
      </c>
      <c r="DF46" s="268">
        <f>INDEX($AO$43:$BB$56,MATCH($CW46,$L$43:$L$56,0),MATCH(DF$44,$AO$44:$BB$44,0))/INDEX(고양시_재차인원!$D$4:$H$35,MATCH("고양시",고양시_재차인원!$B$4:$B$35,0),MATCH('A.일산테크노밸리(859991)_수정'!$DF$43,고양시_재차인원!$D$4:$H$4,0))</f>
        <v>2.7968498739054435</v>
      </c>
      <c r="DG46" s="267">
        <f>INDEX($AO$43:$BB$56,MATCH($CW46,$L$43:$L$56,0),MATCH(DG$44,$AO$44:$BB$44,0))/INDEX(고양시_재차인원!$K$4:$O$20,MATCH("경기도",고양시_재차인원!$K$4:$K$20,0),MATCH('A.일산테크노밸리(859991)_수정'!DG$44,고양시_재차인원!$K$4:$O$4,0))</f>
        <v>1.2063780377585321E-4</v>
      </c>
      <c r="DH46" s="267">
        <f>INDEX($AO$43:$BB$56,MATCH($CW46,$L$43:$L$56,0),MATCH(DH$44,$AO$44:$BB$44,0))/INDEX(고양시_재차인원!$K$4:$O$20,MATCH("경기도",고양시_재차인원!$K$4:$K$20,0),MATCH('A.일산테크노밸리(859991)_수정'!DH$44,고양시_재차인원!$K$4:$O$4,0))</f>
        <v>4.7738102351301912E-3</v>
      </c>
      <c r="DI46" s="267">
        <f>INDEX($AO$43:$BB$56,MATCH($CW46,$L$43:$L$56,0),MATCH(DI$44,$AO$44:$BB$44,0))/INDEX(고양시_재차인원!$K$4:$O$20,MATCH("경기도",고양시_재차인원!$K$4:$K$20,0),MATCH('A.일산테크노밸리(859991)_수정'!DI$44,고양시_재차인원!$K$4:$O$4,0))</f>
        <v>8.4348229002879763E-2</v>
      </c>
      <c r="DJ46" s="268">
        <f>INDEX($BC$43:$BP$56,MATCH($CW46,$L$43:$L$56,0),MATCH(DJ$44,$BC$44:$BP$44,0))/INDEX(고양시_재차인원!$D$4:$H$35,MATCH("고양시",고양시_재차인원!$B$4:$B$35,0),MATCH('A.일산테크노밸리(859991)_수정'!$DJ$43,고양시_재차인원!$D$4:$H$4,0))</f>
        <v>8.1929233988955914E-3</v>
      </c>
      <c r="DK46" s="267">
        <f>INDEX($BC$43:$BP$56,MATCH($CW46,$L$43:$L$56,0),MATCH(DK$44,$BC$44:$BP$44,0))/INDEX(고양시_재차인원!$K$4:$O$20,MATCH("경기도",고양시_재차인원!$K$4:$K$20,0),MATCH('A.일산테크노밸리(859991)_수정'!DK$44,고양시_재차인원!$K$4:$O$4,0))</f>
        <v>2.4816919633889681E-5</v>
      </c>
      <c r="DL46" s="267">
        <f>INDEX($BC$43:$BP$56,MATCH($CW46,$L$43:$L$56,0),MATCH(DL$44,$BC$44:$BP$44,0))/INDEX(고양시_재차인원!$K$4:$O$20,MATCH("경기도",고양시_재차인원!$K$4:$K$20,0),MATCH('A.일산테크노밸리(859991)_수정'!DL$44,고양시_재차인원!$K$4:$O$4,0))</f>
        <v>1.6544613089259783E-5</v>
      </c>
      <c r="DM46" s="267">
        <f>INDEX($BC$43:$BP$56,MATCH($CW46,$L$43:$L$56,0),MATCH(DM$44,$BC$44:$BP$44,0))/INDEX(고양시_재차인원!$K$4:$O$20,MATCH("경기도",고양시_재차인원!$K$4:$K$20,0),MATCH('A.일산테크노밸리(859991)_수정'!DM$44,고양시_재차인원!$K$4:$O$4,0))</f>
        <v>6.8173776316052687E-5</v>
      </c>
      <c r="DN46" s="268">
        <f>INDEX($BQ$43:$CD$56,MATCH($CW46,$L$43:$L$56,0),MATCH(DN$44,$BQ$44:$CD$44,0))/INDEX(고양시_재차인원!$D$4:$H$35,MATCH("고양시",고양시_재차인원!$B$4:$B$35,0),MATCH('A.일산테크노밸리(859991)_수정'!$DN$43,고양시_재차인원!$D$4:$H$4,0))</f>
        <v>1.8541330726559009E-2</v>
      </c>
      <c r="DO46" s="267">
        <f>INDEX($BQ$43:$CD$56,MATCH($CW46,$L$43:$L$56,0),MATCH(DO$44,$BQ$44:$CD$44,0))/INDEX(고양시_재차인원!$K$4:$O$20,MATCH("경기도",고양시_재차인원!$K$4:$K$20,0),MATCH('A.일산테크노밸리(859991)_수정'!DO$44,고양시_재차인원!$K$4:$O$4,0))</f>
        <v>7.4022343779301782E-5</v>
      </c>
      <c r="DP46" s="267">
        <f>INDEX($BQ$43:$CD$56,MATCH($CW46,$L$43:$L$56,0),MATCH(DP$44,$BQ$44:$CD$44,0))/INDEX(고양시_재차인원!$K$4:$O$20,MATCH("경기도",고양시_재차인원!$K$4:$K$20,0),MATCH('A.일산테크노밸리(859991)_수정'!DP$44,고양시_재차인원!$K$4:$O$4,0))</f>
        <v>2.4722668306968948E-4</v>
      </c>
      <c r="DQ46" s="267">
        <f>INDEX($BQ$43:$CD$56,MATCH($CW46,$L$43:$L$56,0),MATCH(DQ$44,$BQ$44:$CD$44,0))/INDEX(고양시_재차인원!$K$4:$O$20,MATCH("경기도",고양시_재차인원!$K$4:$K$20,0),MATCH('A.일산테크노밸리(859991)_수정'!DQ$44,고양시_재차인원!$K$4:$O$4,0))</f>
        <v>1.7790963556163014E-5</v>
      </c>
      <c r="DR46" s="269">
        <f t="shared" ref="DR46:DR56" si="26">CX46+DB46+DF46+DJ46+DN46</f>
        <v>34.327974113893056</v>
      </c>
      <c r="DS46" s="270">
        <f t="shared" si="20"/>
        <v>2.6947700665230236E-4</v>
      </c>
      <c r="DT46" s="270">
        <f t="shared" si="21"/>
        <v>0.15424212124536166</v>
      </c>
      <c r="DU46" s="270">
        <f t="shared" si="22"/>
        <v>3.8219221426398193</v>
      </c>
      <c r="DW46" s="278"/>
      <c r="DX46" s="278" t="s">
        <v>590</v>
      </c>
      <c r="DY46" s="281">
        <f t="shared" ref="DY46:DY50" si="27">DR46+DU46</f>
        <v>38.149896256532877</v>
      </c>
      <c r="DZ46" s="281">
        <f t="shared" ref="DZ46:DZ50" si="28">DS46+DT46</f>
        <v>0.15451159825201397</v>
      </c>
      <c r="EC46" s="412" t="s">
        <v>13</v>
      </c>
      <c r="ED46" s="412" t="s">
        <v>568</v>
      </c>
      <c r="EE46" s="412">
        <v>907.24059999999997</v>
      </c>
      <c r="EF46" s="412">
        <v>0.22444210067316503</v>
      </c>
      <c r="EG46" s="413">
        <v>859002</v>
      </c>
      <c r="EH46" s="414">
        <f t="shared" ref="EH46:EH89" si="29">VLOOKUP($EM46,$DX$44:$DZ$53,2,FALSE)*$EF46*$BB$11*(1-$BD$7)</f>
        <v>8.3184132348755853</v>
      </c>
      <c r="EI46" s="415">
        <f t="shared" ref="EI46:EI89" si="30">VLOOKUP($EM46,$DX$44:$DZ$53,3,FALSE)*$EF46*$BB$11*(1-$BD$7)</f>
        <v>3.3690558820883725E-2</v>
      </c>
      <c r="EJ46" s="402">
        <v>0</v>
      </c>
      <c r="EM46" s="278" t="s">
        <v>13</v>
      </c>
      <c r="EN46" s="278" t="s">
        <v>568</v>
      </c>
      <c r="EO46" s="278">
        <v>907.24059999999997</v>
      </c>
      <c r="EP46" s="278">
        <v>0.22444210067316503</v>
      </c>
      <c r="EQ46" s="289">
        <v>859002</v>
      </c>
      <c r="ER46" s="290">
        <f t="shared" ref="ER46:ER89" si="31">EH46*$EA$38</f>
        <v>8.3184132348755853</v>
      </c>
      <c r="ES46" s="291">
        <f t="shared" si="23"/>
        <v>3.3690558820883725E-2</v>
      </c>
      <c r="ET46" s="402">
        <v>0</v>
      </c>
      <c r="EV46" s="34"/>
      <c r="EW46" s="34"/>
      <c r="EX46" s="34"/>
      <c r="EY46" s="34"/>
      <c r="EZ46" s="378"/>
      <c r="FA46" s="401"/>
      <c r="FB46" s="402"/>
      <c r="FC46" s="402"/>
    </row>
    <row r="47" spans="1:159" ht="27" customHeight="1">
      <c r="A47" s="205"/>
      <c r="B47" s="205" t="s">
        <v>483</v>
      </c>
      <c r="C47" s="400">
        <f>'A.일산테크노밸리(859991)_수정'!$P30*KTDB_TripDistribution_2040!L$12 * (1 + KTDB_발생량도착량_증가율!$D$7*5) * (1 + KTDB_발생량도착량_증가율!$E$7*5) * (1 + KTDB_발생량도착량_증가율!$F$7*5)</f>
        <v>107.23218901067462</v>
      </c>
      <c r="D47" s="400">
        <f>'A.일산테크노밸리(859991)_수정'!$P30*KTDB_TripDistribution_2040!M$12 * (1 + KTDB_발생량도착량_증가율!$D$7*5) * (1 + KTDB_발생량도착량_증가율!$E$7*5) * (1 + KTDB_발생량도착량_증가율!$F$7*5)</f>
        <v>833.85180159959691</v>
      </c>
      <c r="E47" s="400">
        <f>'A.일산테크노밸리(859991)_수정'!$P30*KTDB_TripDistribution_2040!N$12 * (1 + KTDB_발생량도착량_증가율!$D$7*5) * (1 + KTDB_발생량도착량_증가율!$E$7*5) * (1 + KTDB_발생량도착량_증가율!$F$7*5)</f>
        <v>36.960775539198799</v>
      </c>
      <c r="F47" s="400">
        <f>'A.일산테크노밸리(859991)_수정'!$P30*KTDB_TripDistribution_2040!O$12 * (1 + KTDB_발생량도착량_증가율!$D$7*5) * (1 + KTDB_발생량도착량_증가율!$E$7*5) * (1 + KTDB_발생량도착량_증가율!$F$7*5)</f>
        <v>0.10023261163172507</v>
      </c>
      <c r="G47" s="400">
        <f>'A.일산테크노밸리(859991)_수정'!$P30*KTDB_TripDistribution_2040!P$12 * (1 + KTDB_발생량도착량_증가율!$D$7*5) * (1 + KTDB_발생량도착량_증가율!$E$7*5) * (1 + KTDB_발생량도착량_증가율!$F$7*5)</f>
        <v>0.28399239962322326</v>
      </c>
      <c r="H47" s="400">
        <f>'A.일산테크노밸리(859991)_수정'!$P30*KTDB_TripDistribution_2040!Q$12 * (1 + KTDB_발생량도착량_증가율!$D$7*5) * (1 + KTDB_발생량도착량_증가율!$E$7*5) * (1 + KTDB_발생량도착량_증가율!$F$7*5)</f>
        <v>978.42899116072533</v>
      </c>
      <c r="J47" s="230">
        <f t="shared" si="6"/>
        <v>978.42899116072533</v>
      </c>
      <c r="K47" s="206"/>
      <c r="L47" s="209" t="s">
        <v>14</v>
      </c>
      <c r="M47" s="213">
        <f>INDEX($A$44:$H$56,MATCH($L47,$B$44:$B$56,0),MATCH($M$43,$A$44:$H$44,0))*고양시_Modal_split!C$3 * 0.01</f>
        <v>0.30025012922988892</v>
      </c>
      <c r="N47" s="207">
        <f>INDEX($A$44:$H$56,MATCH($L47,$B$44:$B$56,0),MATCH($M$43,$A$44:$H$44,0))*고양시_Modal_split!D$3 * 0.01</f>
        <v>50.43129849172027</v>
      </c>
      <c r="O47" s="207">
        <f>INDEX($A$44:$H$56,MATCH($L47,$B$44:$B$56,0),MATCH($M$43,$A$44:$H$44,0))*고양시_Modal_split!E$3 * 0.01</f>
        <v>6.1015115547073862</v>
      </c>
      <c r="P47" s="207">
        <f>INDEX($A$44:$H$56,MATCH($L47,$B$44:$B$56,0),MATCH($M$43,$A$44:$H$44,0))*고양시_Modal_split!F$3 * 0.01</f>
        <v>9.8331917322788627</v>
      </c>
      <c r="Q47" s="207">
        <f>INDEX($A$44:$H$56,MATCH($L47,$B$44:$B$56,0),MATCH($M$43,$A$44:$H$44,0))*고양시_Modal_split!G$3 * 0.01</f>
        <v>0.98653613889820635</v>
      </c>
      <c r="R47" s="207">
        <f>INDEX($A$44:$H$56,MATCH($L47,$B$44:$B$56,0),MATCH($M$43,$A$44:$H$44,0))*고양시_Modal_split!H$3 * 0.01</f>
        <v>1.0723218901067462E-2</v>
      </c>
      <c r="S47" s="207">
        <f>INDEX($A$44:$H$56,MATCH($L47,$B$44:$B$56,0),MATCH($M$43,$A$44:$H$44,0))*고양시_Modal_split!I$3 * 0.01</f>
        <v>2.9810548544967541</v>
      </c>
      <c r="T47" s="207">
        <f>INDEX($A$44:$H$56,MATCH($L47,$B$44:$B$56,0),MATCH($M$43,$A$44:$H$44,0))*고양시_Modal_split!J$3 * 0.01</f>
        <v>32.641478334849353</v>
      </c>
      <c r="U47" s="207">
        <f>INDEX($A$44:$H$56,MATCH($L47,$B$44:$B$56,0),MATCH($M$43,$A$44:$H$44,0))*고양시_Modal_split!K$3 * 0.01</f>
        <v>0.16084828351601194</v>
      </c>
      <c r="V47" s="207">
        <f>INDEX($A$44:$H$56,MATCH($L47,$B$44:$B$56,0),MATCH($M$43,$A$44:$H$44,0))*고양시_Modal_split!L$3 * 0.01</f>
        <v>3.2384121081223736</v>
      </c>
      <c r="W47" s="207">
        <f>INDEX($A$44:$H$56,MATCH($L47,$B$44:$B$56,0),MATCH($M$43,$A$44:$H$44,0))*고양시_Modal_split!M$3 * 0.01</f>
        <v>0.24663403472455159</v>
      </c>
      <c r="X47" s="207">
        <f>INDEX($A$44:$H$56,MATCH($L47,$B$44:$B$56,0),MATCH($M$43,$A$44:$H$44,0))*고양시_Modal_split!N$3 * 0.01</f>
        <v>0.10723218901067462</v>
      </c>
      <c r="Y47" s="207">
        <f>INDEX($A$44:$H$56,MATCH($L47,$B$44:$B$56,0),MATCH($M$43,$A$44:$H$44,0))*고양시_Modal_split!O$3 * 0.01</f>
        <v>0.19301794021921431</v>
      </c>
      <c r="Z47" s="214">
        <f>INDEX($A$44:$H$56,MATCH($L47,$B$44:$B$56,0),MATCH($M$43,$A$44:$H$44,0))*고양시_Modal_split!P$3 * 0.01</f>
        <v>107.23218901067462</v>
      </c>
      <c r="AA47" s="213">
        <f>INDEX($A$44:$H$56,MATCH($L47,$B$44:$B$56,0),MATCH($AA$43,$A$44:$H$44,0))*고양시_Modal_split!C$4 * 0.01</f>
        <v>253.82448840691731</v>
      </c>
      <c r="AB47" s="207">
        <f>INDEX($A$44:$H$56,MATCH($L47,$B$44:$B$56,0),MATCH($AA$43,$A$44:$H$44,0))*고양시_Modal_split!D$4 * 0.01</f>
        <v>267.41627277299074</v>
      </c>
      <c r="AC47" s="207">
        <f>INDEX($A$44:$H$56,MATCH($L47,$B$44:$B$56,0),MATCH($AA$43,$A$44:$H$44,0))*고양시_Modal_split!E$4 * 0.01</f>
        <v>64.790284984288689</v>
      </c>
      <c r="AD47" s="207">
        <f>INDEX($A$44:$H$56,MATCH($L47,$B$44:$B$56,0),MATCH($AA$43,$A$44:$H$44,0))*고양시_Modal_split!F$4 * 0.01</f>
        <v>7.9215921151961703</v>
      </c>
      <c r="AE47" s="207">
        <f>INDEX($A$44:$H$56,MATCH($L47,$B$44:$B$56,0),MATCH($AA$43,$A$44:$H$44,0))*고양시_Modal_split!G$4 * 0.01</f>
        <v>97.644045967312792</v>
      </c>
      <c r="AF47" s="207">
        <f>INDEX($A$44:$H$56,MATCH($L47,$B$44:$B$56,0),MATCH($AA$43,$A$44:$H$44,0))*고양시_Modal_split!H$4 * 0.01</f>
        <v>0</v>
      </c>
      <c r="AG47" s="207">
        <f>INDEX($A$44:$H$56,MATCH($L47,$B$44:$B$56,0),MATCH($AA$43,$A$44:$H$44,0))*고양시_Modal_split!I$4 * 0.01</f>
        <v>29.018042695665969</v>
      </c>
      <c r="AH47" s="207">
        <f>INDEX($A$44:$H$56,MATCH($L47,$B$44:$B$56,0),MATCH($AA$43,$A$44:$H$44,0))*고양시_Modal_split!J$4 * 0.01</f>
        <v>39.274419855341016</v>
      </c>
      <c r="AI47" s="207">
        <f>INDEX($A$44:$H$56,MATCH($L47,$B$44:$B$56,0),MATCH($AA$43,$A$44:$H$44,0))*고양시_Modal_split!K$4 * 0.01</f>
        <v>0</v>
      </c>
      <c r="AJ47" s="207">
        <f>INDEX($A$44:$H$56,MATCH($L47,$B$44:$B$56,0),MATCH($AA$43,$A$44:$H$44,0))*고양시_Modal_split!L$4 * 0.01</f>
        <v>38.523953233901381</v>
      </c>
      <c r="AK47" s="207">
        <f>INDEX($A$44:$H$56,MATCH($L47,$B$44:$B$56,0),MATCH($AA$43,$A$44:$H$44,0))*고양시_Modal_split!M$4 * 0.01</f>
        <v>5.5868070707172999</v>
      </c>
      <c r="AL47" s="207">
        <f>INDEX($A$44:$H$56,MATCH($L47,$B$44:$B$56,0),MATCH($AA$43,$A$44:$H$44,0))*고양시_Modal_split!N$4 * 0.01</f>
        <v>20.846295039989922</v>
      </c>
      <c r="AM47" s="207">
        <f>INDEX($A$44:$H$56,MATCH($L47,$B$44:$B$56,0),MATCH($AA$43,$A$44:$H$44,0))*고양시_Modal_split!O$4 * 0.01</f>
        <v>9.0055994572756468</v>
      </c>
      <c r="AN47" s="214">
        <f>INDEX($A$44:$H$56,MATCH($L47,$B$44:$B$56,0),MATCH($AA$43,$A$44:$H$44,0))*고양시_Modal_split!P$4 * 0.01</f>
        <v>833.85180159959691</v>
      </c>
      <c r="AO47" s="213">
        <f>INDEX($A$44:$H$56,MATCH($L47,$B$44:$B$56,0),MATCH($AO$43,$A$44:$H$44,0))*고양시_Modal_split!C$5 * 0.01</f>
        <v>2.2176465323519277E-2</v>
      </c>
      <c r="AP47" s="207">
        <f>INDEX($A$44:$H$56,MATCH($L47,$B$44:$B$56,0),MATCH($AO$43,$A$44:$H$44,0))*고양시_Modal_split!D$5 * 0.01</f>
        <v>27.084856315124881</v>
      </c>
      <c r="AQ47" s="207">
        <f>INDEX($A$44:$H$56,MATCH($L47,$B$44:$B$56,0),MATCH($AO$43,$A$44:$H$44,0))*고양시_Modal_split!E$5 * 0.01</f>
        <v>3.6406363906110819</v>
      </c>
      <c r="AR47" s="207">
        <f>INDEX($A$44:$H$56,MATCH($L47,$B$44:$B$56,0),MATCH($AO$43,$A$44:$H$44,0))*고양시_Modal_split!F$5 * 0.01</f>
        <v>0.77617628632317481</v>
      </c>
      <c r="AS47" s="207">
        <f>INDEX($A$44:$H$56,MATCH($L47,$B$44:$B$56,0),MATCH($AO$43,$A$44:$H$44,0))*고양시_Modal_split!G$5 * 0.01</f>
        <v>0.24024504100479221</v>
      </c>
      <c r="AT47" s="207">
        <f>INDEX($A$44:$H$56,MATCH($L47,$B$44:$B$56,0),MATCH($AO$43,$A$44:$H$44,0))*고양시_Modal_split!H$5 * 0.01</f>
        <v>2.5872542877439154E-2</v>
      </c>
      <c r="AU47" s="207">
        <f>INDEX($A$44:$H$56,MATCH($L47,$B$44:$B$56,0),MATCH($AO$43,$A$44:$H$44,0))*고양시_Modal_split!I$5 * 0.01</f>
        <v>1.0238134824358067</v>
      </c>
      <c r="AV47" s="207">
        <f>INDEX($A$44:$H$56,MATCH($L47,$B$44:$B$56,0),MATCH($AO$43,$A$44:$H$44,0))*고양시_Modal_split!J$5 * 0.01</f>
        <v>2.3174406263077647</v>
      </c>
      <c r="AW47" s="207">
        <f>INDEX($A$44:$H$56,MATCH($L47,$B$44:$B$56,0),MATCH($AO$43,$A$44:$H$44,0))*고양시_Modal_split!K$5 * 0.01</f>
        <v>7.3921551078397598E-3</v>
      </c>
      <c r="AX47" s="207">
        <f>INDEX($A$44:$H$56,MATCH($L47,$B$44:$B$56,0),MATCH($AO$43,$A$44:$H$44,0))*고양시_Modal_split!L$5 * 0.01</f>
        <v>0.94249977624956927</v>
      </c>
      <c r="AY47" s="207">
        <f>INDEX($A$44:$H$56,MATCH($L47,$B$44:$B$56,0),MATCH($AO$43,$A$44:$H$44,0))*고양시_Modal_split!M$5 * 0.01</f>
        <v>0.24763719611263199</v>
      </c>
      <c r="AZ47" s="207">
        <f>INDEX($A$44:$H$56,MATCH($L47,$B$44:$B$56,0),MATCH($AO$43,$A$44:$H$44,0))*고양시_Modal_split!N$5 * 0.01</f>
        <v>6.2833318416637945E-2</v>
      </c>
      <c r="BA47" s="207">
        <f>INDEX($A$44:$H$56,MATCH($L47,$B$44:$B$56,0),MATCH($AO$43,$A$44:$H$44,0))*고양시_Modal_split!O$5 * 0.01</f>
        <v>0.56919594330366152</v>
      </c>
      <c r="BB47" s="214">
        <f>INDEX($A$44:$H$56,MATCH($L47,$B$44:$B$56,0),MATCH($AO$43,$A$44:$H$44,0))*고양시_Modal_split!P$5 * 0.01</f>
        <v>36.960775539198792</v>
      </c>
      <c r="BC47" s="213">
        <f>INDEX($A$44:$H$56,MATCH($L47,$B$44:$B$56,0),MATCH($BC$43,$A$44:$H$44,0))*고양시_Modal_split!C$6 * 0.01</f>
        <v>0</v>
      </c>
      <c r="BD47" s="207">
        <f>INDEX($A$44:$H$56,MATCH($L47,$B$44:$B$56,0),MATCH($BC$43,$A$44:$H$44,0))*고양시_Modal_split!D$6 * 0.01</f>
        <v>8.3002625692231519E-2</v>
      </c>
      <c r="BE47" s="207">
        <f>INDEX($A$44:$H$56,MATCH($L47,$B$44:$B$56,0),MATCH($BC$43,$A$44:$H$44,0))*고양시_Modal_split!E$6 * 0.01</f>
        <v>4.3100023001641776E-4</v>
      </c>
      <c r="BF47" s="207">
        <f>INDEX($A$44:$H$56,MATCH($L47,$B$44:$B$56,0),MATCH($BC$43,$A$44:$H$44,0))*고양시_Modal_split!F$6 * 0.01</f>
        <v>1.2228378619070458E-3</v>
      </c>
      <c r="BG47" s="207">
        <f>INDEX($A$44:$H$56,MATCH($L47,$B$44:$B$56,0),MATCH($BC$43,$A$44:$H$44,0))*고양시_Modal_split!G$6 * 0.01</f>
        <v>0</v>
      </c>
      <c r="BH47" s="207">
        <f>INDEX($A$44:$H$56,MATCH($L47,$B$44:$B$56,0),MATCH($BC$43,$A$44:$H$44,0))*고양시_Modal_split!H$6 * 0.01</f>
        <v>5.3223516776446022E-3</v>
      </c>
      <c r="BI47" s="207">
        <f>INDEX($A$44:$H$56,MATCH($L47,$B$44:$B$56,0),MATCH($BC$43,$A$44:$H$44,0))*고양시_Modal_split!I$6 * 0.01</f>
        <v>3.5482344517630679E-3</v>
      </c>
      <c r="BJ47" s="207">
        <f>INDEX($A$44:$H$56,MATCH($L47,$B$44:$B$56,0),MATCH($BC$43,$A$44:$H$44,0))*고양시_Modal_split!J$6 * 0.01</f>
        <v>4.9514910146072188E-3</v>
      </c>
      <c r="BK47" s="207">
        <f>INDEX($A$44:$H$56,MATCH($L47,$B$44:$B$56,0),MATCH($BC$43,$A$44:$H$44,0))*고양시_Modal_split!K$6 * 0.01</f>
        <v>0</v>
      </c>
      <c r="BL47" s="207">
        <f>INDEX($A$44:$H$56,MATCH($L47,$B$44:$B$56,0),MATCH($BC$43,$A$44:$H$44,0))*고양시_Modal_split!L$6 * 0.01</f>
        <v>7.6176784840111065E-4</v>
      </c>
      <c r="BM47" s="207">
        <f>INDEX($A$44:$H$56,MATCH($L47,$B$44:$B$56,0),MATCH($BC$43,$A$44:$H$44,0))*고양시_Modal_split!M$6 * 0.01</f>
        <v>9.1211676584869829E-4</v>
      </c>
      <c r="BN47" s="207">
        <f>INDEX($A$44:$H$56,MATCH($L47,$B$44:$B$56,0),MATCH($BC$43,$A$44:$H$44,0))*고양시_Modal_split!N$6 * 0.01</f>
        <v>0</v>
      </c>
      <c r="BO47" s="207">
        <f>INDEX($A$44:$H$56,MATCH($L47,$B$44:$B$56,0),MATCH($BC$43,$A$44:$H$44,0))*고양시_Modal_split!O$6 * 0.01</f>
        <v>8.0186089305380061E-5</v>
      </c>
      <c r="BP47" s="214">
        <f>INDEX($A$44:$H$56,MATCH($L47,$B$44:$B$56,0),MATCH($BC$43,$A$44:$H$44,0))*고양시_Modal_split!P$6 * 0.01</f>
        <v>0.10023261163172509</v>
      </c>
      <c r="BQ47" s="213">
        <f>INDEX($A$44:$H$56,MATCH($L47,$B$44:$B$56,0),MATCH($BQ$43,$A$44:$H$44,0))*고양시_Modal_split!C$7 * 0.01</f>
        <v>0</v>
      </c>
      <c r="BR47" s="207">
        <f>INDEX($A$44:$H$56,MATCH($L47,$B$44:$B$56,0),MATCH($BQ$43,$A$44:$H$44,0))*고양시_Modal_split!D$7 * 0.01</f>
        <v>0.17403054248911123</v>
      </c>
      <c r="BS47" s="207">
        <f>INDEX($A$44:$H$56,MATCH($L47,$B$44:$B$56,0),MATCH($BQ$43,$A$44:$H$44,0))*고양시_Modal_split!E$7 * 0.01</f>
        <v>8.4913727487343754E-3</v>
      </c>
      <c r="BT47" s="207">
        <f>INDEX($A$44:$H$56,MATCH($L47,$B$44:$B$56,0),MATCH($BQ$43,$A$44:$H$44,0))*고양시_Modal_split!F$7 * 0.01</f>
        <v>2.8399239962322328E-3</v>
      </c>
      <c r="BU47" s="207">
        <f>INDEX($A$44:$H$56,MATCH($L47,$B$44:$B$56,0),MATCH($BQ$43,$A$44:$H$44,0))*고양시_Modal_split!G$7 * 0.01</f>
        <v>1.1927680784175377E-3</v>
      </c>
      <c r="BV47" s="207">
        <f>INDEX($A$44:$H$56,MATCH($L47,$B$44:$B$56,0),MATCH($BQ$43,$A$44:$H$44,0))*고양시_Modal_split!H$7 * 0.01</f>
        <v>1.5875175138938179E-2</v>
      </c>
      <c r="BW47" s="207">
        <f>INDEX($A$44:$H$56,MATCH($L47,$B$44:$B$56,0),MATCH($BQ$43,$A$44:$H$44,0))*고양시_Modal_split!I$7 * 0.01</f>
        <v>5.3021381009655782E-2</v>
      </c>
      <c r="BX47" s="207">
        <f>INDEX($A$44:$H$56,MATCH($L47,$B$44:$B$56,0),MATCH($BQ$43,$A$44:$H$44,0))*고양시_Modal_split!J$7 * 0.01</f>
        <v>5.6798479924644656E-5</v>
      </c>
      <c r="BY47" s="207">
        <f>INDEX($A$44:$H$56,MATCH($L47,$B$44:$B$56,0),MATCH($BQ$43,$A$44:$H$44,0))*고양시_Modal_split!K$7 * 0.01</f>
        <v>2.1867414770988192E-2</v>
      </c>
      <c r="BZ47" s="207">
        <f>INDEX($A$44:$H$56,MATCH($L47,$B$44:$B$56,0),MATCH($BQ$43,$A$44:$H$44,0))*고양시_Modal_split!L$7 * 0.01</f>
        <v>1.9879467973625626E-4</v>
      </c>
      <c r="CA47" s="207">
        <f>INDEX($A$44:$H$56,MATCH($L47,$B$44:$B$56,0),MATCH($BQ$43,$A$44:$H$44,0))*고양시_Modal_split!M$7 * 0.01</f>
        <v>5.3106578729542756E-3</v>
      </c>
      <c r="CB47" s="207">
        <f>INDEX($A$44:$H$56,MATCH($L47,$B$44:$B$56,0),MATCH($BQ$43,$A$44:$H$44,0))*고양시_Modal_split!N$7 * 0.01</f>
        <v>1.1075703585305707E-3</v>
      </c>
      <c r="CC47" s="207">
        <f>INDEX($A$44:$H$56,MATCH($L47,$B$44:$B$56,0),MATCH($BQ$43,$A$44:$H$44,0))*고양시_Modal_split!O$7 * 0.01</f>
        <v>0</v>
      </c>
      <c r="CD47" s="214">
        <f>INDEX($A$44:$H$56,MATCH($L47,$B$44:$B$56,0),MATCH($BQ$43,$A$44:$H$44,0))*고양시_Modal_split!P$7 * 0.01</f>
        <v>0.28399239962322326</v>
      </c>
      <c r="CE47" s="218">
        <f t="shared" si="24"/>
        <v>254.14691500147072</v>
      </c>
      <c r="CF47" s="208">
        <f t="shared" si="7"/>
        <v>345.18946074801727</v>
      </c>
      <c r="CG47" s="208">
        <f t="shared" si="8"/>
        <v>74.541355302585913</v>
      </c>
      <c r="CH47" s="208">
        <f t="shared" si="9"/>
        <v>18.535022895656347</v>
      </c>
      <c r="CI47" s="208">
        <f t="shared" si="10"/>
        <v>98.872019915294203</v>
      </c>
      <c r="CJ47" s="208">
        <f t="shared" si="11"/>
        <v>5.77932885950894E-2</v>
      </c>
      <c r="CK47" s="208">
        <f t="shared" si="12"/>
        <v>33.079480648059949</v>
      </c>
      <c r="CL47" s="208">
        <f t="shared" si="13"/>
        <v>74.238347105992673</v>
      </c>
      <c r="CM47" s="208">
        <f t="shared" si="14"/>
        <v>0.19010785339483988</v>
      </c>
      <c r="CN47" s="208">
        <f t="shared" si="15"/>
        <v>42.70582568080146</v>
      </c>
      <c r="CO47" s="208">
        <f t="shared" si="16"/>
        <v>6.0873010761932864</v>
      </c>
      <c r="CP47" s="208">
        <f t="shared" si="17"/>
        <v>21.017468117775763</v>
      </c>
      <c r="CQ47" s="208">
        <f t="shared" si="18"/>
        <v>9.7678935268878284</v>
      </c>
      <c r="CR47" s="219">
        <f t="shared" si="19"/>
        <v>978.42899116072533</v>
      </c>
      <c r="CS47" s="225">
        <f t="shared" si="25"/>
        <v>0</v>
      </c>
      <c r="CV47" s="265"/>
      <c r="CW47" s="266" t="s">
        <v>14</v>
      </c>
      <c r="CX47" s="267">
        <f>INDEX($M$43:$Z$56,MATCH($CW47,$L$43:$L$56,0),MATCH(CX$44,$M$44:$Z$44,0))/INDEX(고양시_재차인원!$D$4:$H$35,MATCH("고양시",고양시_재차인원!$B$4:$B$35,0),MATCH('A.일산테크노밸리(859991)_수정'!$CX$43,고양시_재차인원!$D$4:$H$4,0))</f>
        <v>45.027945081893094</v>
      </c>
      <c r="CY47" s="267">
        <f>INDEX($M$43:$Z$56,MATCH($CW47,$L$43:$L$56,0),MATCH(CY$44,$M$44:$Z$44,0))/INDEX(고양시_재차인원!$K$4:$O$20,MATCH("경기도",고양시_재차인원!$K$4:$K$20,0),MATCH('A.일산테크노밸리(859991)_수정'!CY$44,고양시_재차인원!$K$4:$O$4,0))</f>
        <v>3.7246331716107894E-4</v>
      </c>
      <c r="CZ47" s="267">
        <f>INDEX($M$43:$Z$56,MATCH($CW47,$L$43:$L$56,0),MATCH(CZ$44,$M$44:$Z$44,0))/INDEX(고양시_재차인원!$K$4:$O$20,MATCH("경기도",고양시_재차인원!$K$4:$K$20,0),MATCH('A.일산테크노밸리(859991)_수정'!CZ$44,고양시_재차인원!$K$4:$O$4,0))</f>
        <v>0.10354480217077994</v>
      </c>
      <c r="DA47" s="267">
        <f>INDEX($M$43:$Z$56,MATCH($CW47,$L$43:$L$56,0),MATCH(DA$44,$M$44:$Z$44,0))/INDEX(고양시_재차인원!$K$4:$O$20,MATCH("경기도",고양시_재차인원!$K$4:$K$20,0),MATCH('A.일산테크노밸리(859991)_수정'!DA$44,고양시_재차인원!$K$4:$O$4,0))</f>
        <v>2.1589414054149159</v>
      </c>
      <c r="DB47" s="268">
        <f>INDEX($AA$43:$AN$56,MATCH($CW47,$L$43:$L$56,0),MATCH(DB$44,$AA$44:$AN$44,0))/INDEX(고양시_재차인원!$D$4:$H$35,MATCH("고양시",고양시_재차인원!$B$4:$B$35,0),MATCH('A.일산테크노밸리(859991)_수정'!$DB$43,고양시_재차인원!$D$4:$H$4,0))</f>
        <v>189.65693104467428</v>
      </c>
      <c r="DC47" s="267">
        <f>INDEX($AA$43:$AN$56,MATCH($CW47,$L$43:$L$56,0),MATCH(DC$44,$AA$44:$AN$44,0))/INDEX(고양시_재차인원!$K$4:$O$20,MATCH("경기도",고양시_재차인원!$K$4:$K$20,0),MATCH('A.일산테크노밸리(859991)_수정'!DC$44,고양시_재차인원!$K$4:$O$4,0))</f>
        <v>0</v>
      </c>
      <c r="DD47" s="267">
        <f>INDEX($AA$43:$AN$56,MATCH($CW47,$L$43:$L$56,0),MATCH(DD$44,$AA$44:$AN$44,0))/INDEX(고양시_재차인원!$K$4:$O$20,MATCH("경기도",고양시_재차인원!$K$4:$K$20,0),MATCH('A.일산테크노밸리(859991)_수정'!DD$44,고양시_재차인원!$K$4:$O$4,0))</f>
        <v>1.0079208994673834</v>
      </c>
      <c r="DE47" s="267">
        <f>INDEX($AA$43:$AN$56,MATCH($CW47,$L$43:$L$56,0),MATCH(DE$44,$AA$44:$AN$44,0))/INDEX(고양시_재차인원!$K$4:$O$20,MATCH("경기도",고양시_재차인원!$K$4:$K$20,0),MATCH('A.일산테크노밸리(859991)_수정'!DE$44,고양시_재차인원!$K$4:$O$4,0))</f>
        <v>25.682635489267586</v>
      </c>
      <c r="DF47" s="268">
        <f>INDEX($AO$43:$BB$56,MATCH($CW47,$L$43:$L$56,0),MATCH(DF$44,$AO$44:$BB$44,0))/INDEX(고양시_재차인원!$D$4:$H$35,MATCH("고양시",고양시_재차인원!$B$4:$B$35,0),MATCH('A.일산테크노밸리(859991)_수정'!$DF$43,고양시_재차인원!$D$4:$H$4,0))</f>
        <v>20.834504857788371</v>
      </c>
      <c r="DG47" s="267">
        <f>INDEX($AO$43:$BB$56,MATCH($CW47,$L$43:$L$56,0),MATCH(DG$44,$AO$44:$BB$44,0))/INDEX(고양시_재차인원!$K$4:$O$20,MATCH("경기도",고양시_재차인원!$K$4:$K$20,0),MATCH('A.일산테크노밸리(859991)_수정'!DG$44,고양시_재차인원!$K$4:$O$4,0))</f>
        <v>8.9866421943171778E-4</v>
      </c>
      <c r="DH47" s="267">
        <f>INDEX($AO$43:$BB$56,MATCH($CW47,$L$43:$L$56,0),MATCH(DH$44,$AO$44:$BB$44,0))/INDEX(고양시_재차인원!$K$4:$O$20,MATCH("경기도",고양시_재차인원!$K$4:$K$20,0),MATCH('A.일산테크노밸리(859991)_수정'!DH$44,고양시_재차인원!$K$4:$O$4,0))</f>
        <v>3.5561426968940837E-2</v>
      </c>
      <c r="DI47" s="267">
        <f>INDEX($AO$43:$BB$56,MATCH($CW47,$L$43:$L$56,0),MATCH(DI$44,$AO$44:$BB$44,0))/INDEX(고양시_재차인원!$K$4:$O$20,MATCH("경기도",고양시_재차인원!$K$4:$K$20,0),MATCH('A.일산테크노밸리(859991)_수정'!DI$44,고양시_재차인원!$K$4:$O$4,0))</f>
        <v>0.62833318416637951</v>
      </c>
      <c r="DJ47" s="268">
        <f>INDEX($BC$43:$BP$56,MATCH($CW47,$L$43:$L$56,0),MATCH(DJ$44,$BC$44:$BP$44,0))/INDEX(고양시_재차인원!$D$4:$H$35,MATCH("고양시",고양시_재차인원!$B$4:$B$35,0),MATCH('A.일산테크노밸리(859991)_수정'!$DJ$43,고양시_재차인원!$D$4:$H$4,0))</f>
        <v>6.1031342420758465E-2</v>
      </c>
      <c r="DK47" s="267">
        <f>INDEX($BC$43:$BP$56,MATCH($CW47,$L$43:$L$56,0),MATCH(DK$44,$BC$44:$BP$44,0))/INDEX(고양시_재차인원!$K$4:$O$20,MATCH("경기도",고양시_재차인원!$K$4:$K$20,0),MATCH('A.일산테크노밸리(859991)_수정'!DK$44,고양시_재차인원!$K$4:$O$4,0))</f>
        <v>1.8486806799738112E-4</v>
      </c>
      <c r="DL47" s="267">
        <f>INDEX($BC$43:$BP$56,MATCH($CW47,$L$43:$L$56,0),MATCH(DL$44,$BC$44:$BP$44,0))/INDEX(고양시_재차인원!$K$4:$O$20,MATCH("경기도",고양시_재차인원!$K$4:$K$20,0),MATCH('A.일산테크노밸리(859991)_수정'!DL$44,고양시_재차인원!$K$4:$O$4,0))</f>
        <v>1.2324537866492073E-4</v>
      </c>
      <c r="DM47" s="267">
        <f>INDEX($BC$43:$BP$56,MATCH($CW47,$L$43:$L$56,0),MATCH(DM$44,$BC$44:$BP$44,0))/INDEX(고양시_재차인원!$K$4:$O$20,MATCH("경기도",고양시_재차인원!$K$4:$K$20,0),MATCH('A.일산테크노밸리(859991)_수정'!DM$44,고양시_재차인원!$K$4:$O$4,0))</f>
        <v>5.0784523226740706E-4</v>
      </c>
      <c r="DN47" s="268">
        <f>INDEX($BQ$43:$CD$56,MATCH($CW47,$L$43:$L$56,0),MATCH(DN$44,$BQ$44:$CD$44,0))/INDEX(고양시_재차인원!$D$4:$H$35,MATCH("고양시",고양시_재차인원!$B$4:$B$35,0),MATCH('A.일산테크노밸리(859991)_수정'!$DN$43,고양시_재차인원!$D$4:$H$4,0))</f>
        <v>0.13811947816596129</v>
      </c>
      <c r="DO47" s="267">
        <f>INDEX($BQ$43:$CD$56,MATCH($CW47,$L$43:$L$56,0),MATCH(DO$44,$BQ$44:$CD$44,0))/INDEX(고양시_재차인원!$K$4:$O$20,MATCH("경기도",고양시_재차인원!$K$4:$K$20,0),MATCH('A.일산테크노밸리(859991)_수정'!DO$44,고양시_재차인원!$K$4:$O$4,0))</f>
        <v>5.51412821776248E-4</v>
      </c>
      <c r="DP47" s="267">
        <f>INDEX($BQ$43:$CD$56,MATCH($CW47,$L$43:$L$56,0),MATCH(DP$44,$BQ$44:$CD$44,0))/INDEX(고양시_재차인원!$K$4:$O$20,MATCH("경기도",고양시_재차인원!$K$4:$K$20,0),MATCH('A.일산테크노밸리(859991)_수정'!DP$44,고양시_재차인원!$K$4:$O$4,0))</f>
        <v>1.8416596390988464E-3</v>
      </c>
      <c r="DQ47" s="267">
        <f>INDEX($BQ$43:$CD$56,MATCH($CW47,$L$43:$L$56,0),MATCH(DQ$44,$BQ$44:$CD$44,0))/INDEX(고양시_재차인원!$K$4:$O$20,MATCH("경기도",고양시_재차인원!$K$4:$K$20,0),MATCH('A.일산테크노밸리(859991)_수정'!DQ$44,고양시_재차인원!$K$4:$O$4,0))</f>
        <v>1.3252978649083751E-4</v>
      </c>
      <c r="DR47" s="269">
        <f t="shared" si="26"/>
        <v>255.71853180494244</v>
      </c>
      <c r="DS47" s="270">
        <f t="shared" si="20"/>
        <v>2.0074084263664257E-3</v>
      </c>
      <c r="DT47" s="270">
        <f t="shared" si="21"/>
        <v>1.1489920336248678</v>
      </c>
      <c r="DU47" s="270">
        <f t="shared" si="22"/>
        <v>28.470550453867638</v>
      </c>
      <c r="DW47" s="278"/>
      <c r="DX47" s="278" t="s">
        <v>591</v>
      </c>
      <c r="DY47" s="281">
        <f t="shared" si="27"/>
        <v>284.18908225881006</v>
      </c>
      <c r="DZ47" s="281">
        <f t="shared" si="28"/>
        <v>1.1509994420512342</v>
      </c>
      <c r="EC47" s="412" t="s">
        <v>13</v>
      </c>
      <c r="ED47" s="412" t="s">
        <v>76</v>
      </c>
      <c r="EE47" s="412">
        <v>3134.9627</v>
      </c>
      <c r="EF47" s="412">
        <v>0.77555789932683494</v>
      </c>
      <c r="EG47" s="413">
        <v>859003</v>
      </c>
      <c r="EH47" s="414">
        <f t="shared" si="29"/>
        <v>28.744210978346104</v>
      </c>
      <c r="EI47" s="415">
        <f t="shared" si="30"/>
        <v>0.11641745888094784</v>
      </c>
      <c r="EJ47" s="402">
        <v>0</v>
      </c>
      <c r="EM47" s="278" t="s">
        <v>13</v>
      </c>
      <c r="EN47" s="278" t="s">
        <v>76</v>
      </c>
      <c r="EO47" s="278">
        <v>3134.9627</v>
      </c>
      <c r="EP47" s="278">
        <v>0.77555789932683494</v>
      </c>
      <c r="EQ47" s="289">
        <v>859003</v>
      </c>
      <c r="ER47" s="290">
        <f t="shared" si="31"/>
        <v>28.744210978346104</v>
      </c>
      <c r="ES47" s="291">
        <f t="shared" si="23"/>
        <v>0.11641745888094784</v>
      </c>
      <c r="ET47" s="402">
        <v>0</v>
      </c>
      <c r="EV47" s="34"/>
      <c r="EW47" s="34"/>
      <c r="EX47" s="34"/>
      <c r="EY47" s="34"/>
      <c r="EZ47" s="378"/>
      <c r="FA47" s="401"/>
      <c r="FB47" s="402"/>
      <c r="FC47" s="402"/>
    </row>
    <row r="48" spans="1:159" ht="27" customHeight="1">
      <c r="A48" s="205"/>
      <c r="B48" s="205" t="s">
        <v>15</v>
      </c>
      <c r="C48" s="400">
        <f>'A.일산테크노밸리(859991)_수정'!$P31*KTDB_TripDistribution_2040!L$12 * (1 + KTDB_발생량도착량_증가율!$D$7*5) * (1 + KTDB_발생량도착량_증가율!$E$7*5) * (1 + KTDB_발생량도착량_증가율!$F$7*5)</f>
        <v>3025.7627496426444</v>
      </c>
      <c r="D48" s="400">
        <f>'A.일산테크노밸리(859991)_수정'!$P31*KTDB_TripDistribution_2040!M$12 * (1 + KTDB_발생량도착량_증가율!$D$7*5) * (1 + KTDB_발생량도착량_증가율!$E$7*5) * (1 + KTDB_발생량도착량_증가율!$F$7*5)</f>
        <v>23528.734639104583</v>
      </c>
      <c r="E48" s="400">
        <f>'A.일산테크노밸리(859991)_수정'!$P31*KTDB_TripDistribution_2040!N$12 * (1 + KTDB_발생량도착량_증가율!$D$7*5) * (1 + KTDB_발생량도착량_증가율!$E$7*5) * (1 + KTDB_발생량도착량_증가율!$F$7*5)</f>
        <v>1042.9194708808752</v>
      </c>
      <c r="F48" s="400">
        <f>'A.일산테크노밸리(859991)_수정'!$P31*KTDB_TripDistribution_2040!O$12 * (1 + KTDB_발생량도착량_증가율!$D$7*5) * (1 + KTDB_발생량도착량_증가율!$E$7*5) * (1 + KTDB_발생량도착량_증가율!$F$7*5)</f>
        <v>2.8282561922193086</v>
      </c>
      <c r="G48" s="400">
        <f>'A.일산테크노밸리(859991)_수정'!$P31*KTDB_TripDistribution_2040!P$12 * (1 + KTDB_발생량도착량_증가율!$D$7*5) * (1 + KTDB_발생량도착량_증가율!$E$7*5) * (1 + KTDB_발생량도착량_증가율!$F$7*5)</f>
        <v>8.0133925446214391</v>
      </c>
      <c r="H48" s="400">
        <f>'A.일산테크노밸리(859991)_수정'!$P31*KTDB_TripDistribution_2040!Q$12 * (1 + KTDB_발생량도착량_증가율!$D$7*5) * (1 + KTDB_발생량도착량_증가율!$E$7*5) * (1 + KTDB_발생량도착량_증가율!$F$7*5)</f>
        <v>27608.258508364943</v>
      </c>
      <c r="J48" s="230">
        <f t="shared" si="6"/>
        <v>27608.258508364943</v>
      </c>
      <c r="K48" s="206"/>
      <c r="L48" s="209" t="s">
        <v>15</v>
      </c>
      <c r="M48" s="213">
        <f>INDEX($A$44:$H$56,MATCH($L48,$B$44:$B$56,0),MATCH($M$43,$A$44:$H$44,0))*고양시_Modal_split!C$3 * 0.01</f>
        <v>8.4721356989994039</v>
      </c>
      <c r="N48" s="207">
        <f>INDEX($A$44:$H$56,MATCH($L48,$B$44:$B$56,0),MATCH($M$43,$A$44:$H$44,0))*고양시_Modal_split!D$3 * 0.01</f>
        <v>1423.0162211569359</v>
      </c>
      <c r="O48" s="207">
        <f>INDEX($A$44:$H$56,MATCH($L48,$B$44:$B$56,0),MATCH($M$43,$A$44:$H$44,0))*고양시_Modal_split!E$3 * 0.01</f>
        <v>172.16590045466646</v>
      </c>
      <c r="P48" s="207">
        <f>INDEX($A$44:$H$56,MATCH($L48,$B$44:$B$56,0),MATCH($M$43,$A$44:$H$44,0))*고양시_Modal_split!F$3 * 0.01</f>
        <v>277.46244414223048</v>
      </c>
      <c r="Q48" s="207">
        <f>INDEX($A$44:$H$56,MATCH($L48,$B$44:$B$56,0),MATCH($M$43,$A$44:$H$44,0))*고양시_Modal_split!G$3 * 0.01</f>
        <v>27.837017296712325</v>
      </c>
      <c r="R48" s="207">
        <f>INDEX($A$44:$H$56,MATCH($L48,$B$44:$B$56,0),MATCH($M$43,$A$44:$H$44,0))*고양시_Modal_split!H$3 * 0.01</f>
        <v>0.30257627496426442</v>
      </c>
      <c r="S48" s="207">
        <f>INDEX($A$44:$H$56,MATCH($L48,$B$44:$B$56,0),MATCH($M$43,$A$44:$H$44,0))*고양시_Modal_split!I$3 * 0.01</f>
        <v>84.116204440065502</v>
      </c>
      <c r="T48" s="207">
        <f>INDEX($A$44:$H$56,MATCH($L48,$B$44:$B$56,0),MATCH($M$43,$A$44:$H$44,0))*고양시_Modal_split!J$3 * 0.01</f>
        <v>921.04218099122102</v>
      </c>
      <c r="U48" s="207">
        <f>INDEX($A$44:$H$56,MATCH($L48,$B$44:$B$56,0),MATCH($M$43,$A$44:$H$44,0))*고양시_Modal_split!K$3 * 0.01</f>
        <v>4.5386441244639668</v>
      </c>
      <c r="V48" s="207">
        <f>INDEX($A$44:$H$56,MATCH($L48,$B$44:$B$56,0),MATCH($M$43,$A$44:$H$44,0))*고양시_Modal_split!L$3 * 0.01</f>
        <v>91.378035039207859</v>
      </c>
      <c r="W48" s="207">
        <f>INDEX($A$44:$H$56,MATCH($L48,$B$44:$B$56,0),MATCH($M$43,$A$44:$H$44,0))*고양시_Modal_split!M$3 * 0.01</f>
        <v>6.9592543241780813</v>
      </c>
      <c r="X48" s="207">
        <f>INDEX($A$44:$H$56,MATCH($L48,$B$44:$B$56,0),MATCH($M$43,$A$44:$H$44,0))*고양시_Modal_split!N$3 * 0.01</f>
        <v>3.0257627496426442</v>
      </c>
      <c r="Y48" s="207">
        <f>INDEX($A$44:$H$56,MATCH($L48,$B$44:$B$56,0),MATCH($M$43,$A$44:$H$44,0))*고양시_Modal_split!O$3 * 0.01</f>
        <v>5.4463729493567596</v>
      </c>
      <c r="Z48" s="214">
        <f>INDEX($A$44:$H$56,MATCH($L48,$B$44:$B$56,0),MATCH($M$43,$A$44:$H$44,0))*고양시_Modal_split!P$3 * 0.01</f>
        <v>3025.7627496426444</v>
      </c>
      <c r="AA48" s="213">
        <f>INDEX($A$44:$H$56,MATCH($L48,$B$44:$B$56,0),MATCH($AA$43,$A$44:$H$44,0))*고양시_Modal_split!C$4 * 0.01</f>
        <v>7162.1468241434359</v>
      </c>
      <c r="AB48" s="207">
        <f>INDEX($A$44:$H$56,MATCH($L48,$B$44:$B$56,0),MATCH($AA$43,$A$44:$H$44,0))*고양시_Modal_split!D$4 * 0.01</f>
        <v>7545.6651987608393</v>
      </c>
      <c r="AC48" s="207">
        <f>INDEX($A$44:$H$56,MATCH($L48,$B$44:$B$56,0),MATCH($AA$43,$A$44:$H$44,0))*고양시_Modal_split!E$4 * 0.01</f>
        <v>1828.1826814584263</v>
      </c>
      <c r="AD48" s="207">
        <f>INDEX($A$44:$H$56,MATCH($L48,$B$44:$B$56,0),MATCH($AA$43,$A$44:$H$44,0))*고양시_Modal_split!F$4 * 0.01</f>
        <v>223.52297907149355</v>
      </c>
      <c r="AE48" s="207">
        <f>INDEX($A$44:$H$56,MATCH($L48,$B$44:$B$56,0),MATCH($AA$43,$A$44:$H$44,0))*고양시_Modal_split!G$4 * 0.01</f>
        <v>2755.2148262391465</v>
      </c>
      <c r="AF48" s="207">
        <f>INDEX($A$44:$H$56,MATCH($L48,$B$44:$B$56,0),MATCH($AA$43,$A$44:$H$44,0))*고양시_Modal_split!H$4 * 0.01</f>
        <v>0</v>
      </c>
      <c r="AG48" s="207">
        <f>INDEX($A$44:$H$56,MATCH($L48,$B$44:$B$56,0),MATCH($AA$43,$A$44:$H$44,0))*고양시_Modal_split!I$4 * 0.01</f>
        <v>818.79996544083951</v>
      </c>
      <c r="AH48" s="207">
        <f>INDEX($A$44:$H$56,MATCH($L48,$B$44:$B$56,0),MATCH($AA$43,$A$44:$H$44,0))*고양시_Modal_split!J$4 * 0.01</f>
        <v>1108.203401501826</v>
      </c>
      <c r="AI48" s="207">
        <f>INDEX($A$44:$H$56,MATCH($L48,$B$44:$B$56,0),MATCH($AA$43,$A$44:$H$44,0))*고양시_Modal_split!K$4 * 0.01</f>
        <v>0</v>
      </c>
      <c r="AJ48" s="207">
        <f>INDEX($A$44:$H$56,MATCH($L48,$B$44:$B$56,0),MATCH($AA$43,$A$44:$H$44,0))*고양시_Modal_split!L$4 * 0.01</f>
        <v>1087.0275403266317</v>
      </c>
      <c r="AK48" s="207">
        <f>INDEX($A$44:$H$56,MATCH($L48,$B$44:$B$56,0),MATCH($AA$43,$A$44:$H$44,0))*고양시_Modal_split!M$4 * 0.01</f>
        <v>157.64252208200074</v>
      </c>
      <c r="AL48" s="207">
        <f>INDEX($A$44:$H$56,MATCH($L48,$B$44:$B$56,0),MATCH($AA$43,$A$44:$H$44,0))*고양시_Modal_split!N$4 * 0.01</f>
        <v>588.21836597761455</v>
      </c>
      <c r="AM48" s="207">
        <f>INDEX($A$44:$H$56,MATCH($L48,$B$44:$B$56,0),MATCH($AA$43,$A$44:$H$44,0))*고양시_Modal_split!O$4 * 0.01</f>
        <v>254.11033410232952</v>
      </c>
      <c r="AN48" s="214">
        <f>INDEX($A$44:$H$56,MATCH($L48,$B$44:$B$56,0),MATCH($AA$43,$A$44:$H$44,0))*고양시_Modal_split!P$4 * 0.01</f>
        <v>23528.734639104583</v>
      </c>
      <c r="AO48" s="213">
        <f>INDEX($A$44:$H$56,MATCH($L48,$B$44:$B$56,0),MATCH($AO$43,$A$44:$H$44,0))*고양시_Modal_split!C$5 * 0.01</f>
        <v>0.6257516825285252</v>
      </c>
      <c r="AP48" s="207">
        <f>INDEX($A$44:$H$56,MATCH($L48,$B$44:$B$56,0),MATCH($AO$43,$A$44:$H$44,0))*고양시_Modal_split!D$5 * 0.01</f>
        <v>764.25138826150533</v>
      </c>
      <c r="AQ48" s="207">
        <f>INDEX($A$44:$H$56,MATCH($L48,$B$44:$B$56,0),MATCH($AO$43,$A$44:$H$44,0))*고양시_Modal_split!E$5 * 0.01</f>
        <v>102.72756788176621</v>
      </c>
      <c r="AR48" s="207">
        <f>INDEX($A$44:$H$56,MATCH($L48,$B$44:$B$56,0),MATCH($AO$43,$A$44:$H$44,0))*고양시_Modal_split!F$5 * 0.01</f>
        <v>21.901308888498381</v>
      </c>
      <c r="AS48" s="207">
        <f>INDEX($A$44:$H$56,MATCH($L48,$B$44:$B$56,0),MATCH($AO$43,$A$44:$H$44,0))*고양시_Modal_split!G$5 * 0.01</f>
        <v>6.7789765607256891</v>
      </c>
      <c r="AT48" s="207">
        <f>INDEX($A$44:$H$56,MATCH($L48,$B$44:$B$56,0),MATCH($AO$43,$A$44:$H$44,0))*고양시_Modal_split!H$5 * 0.01</f>
        <v>0.73004362961661262</v>
      </c>
      <c r="AU48" s="207">
        <f>INDEX($A$44:$H$56,MATCH($L48,$B$44:$B$56,0),MATCH($AO$43,$A$44:$H$44,0))*고양시_Modal_split!I$5 * 0.01</f>
        <v>28.888869343400245</v>
      </c>
      <c r="AV48" s="207">
        <f>INDEX($A$44:$H$56,MATCH($L48,$B$44:$B$56,0),MATCH($AO$43,$A$44:$H$44,0))*고양시_Modal_split!J$5 * 0.01</f>
        <v>65.391050824230874</v>
      </c>
      <c r="AW48" s="207">
        <f>INDEX($A$44:$H$56,MATCH($L48,$B$44:$B$56,0),MATCH($AO$43,$A$44:$H$44,0))*고양시_Modal_split!K$5 * 0.01</f>
        <v>0.20858389417617507</v>
      </c>
      <c r="AX48" s="207">
        <f>INDEX($A$44:$H$56,MATCH($L48,$B$44:$B$56,0),MATCH($AO$43,$A$44:$H$44,0))*고양시_Modal_split!L$5 * 0.01</f>
        <v>26.594446507462319</v>
      </c>
      <c r="AY48" s="207">
        <f>INDEX($A$44:$H$56,MATCH($L48,$B$44:$B$56,0),MATCH($AO$43,$A$44:$H$44,0))*고양시_Modal_split!M$5 * 0.01</f>
        <v>6.9875604549018648</v>
      </c>
      <c r="AZ48" s="207">
        <f>INDEX($A$44:$H$56,MATCH($L48,$B$44:$B$56,0),MATCH($AO$43,$A$44:$H$44,0))*고양시_Modal_split!N$5 * 0.01</f>
        <v>1.7729631004974877</v>
      </c>
      <c r="BA48" s="207">
        <f>INDEX($A$44:$H$56,MATCH($L48,$B$44:$B$56,0),MATCH($AO$43,$A$44:$H$44,0))*고양시_Modal_split!O$5 * 0.01</f>
        <v>16.060959851565478</v>
      </c>
      <c r="BB48" s="214">
        <f>INDEX($A$44:$H$56,MATCH($L48,$B$44:$B$56,0),MATCH($AO$43,$A$44:$H$44,0))*고양시_Modal_split!P$5 * 0.01</f>
        <v>1042.919470880875</v>
      </c>
      <c r="BC48" s="213">
        <f>INDEX($A$44:$H$56,MATCH($L48,$B$44:$B$56,0),MATCH($BC$43,$A$44:$H$44,0))*고양시_Modal_split!C$6 * 0.01</f>
        <v>0</v>
      </c>
      <c r="BD48" s="207">
        <f>INDEX($A$44:$H$56,MATCH($L48,$B$44:$B$56,0),MATCH($BC$43,$A$44:$H$44,0))*고양시_Modal_split!D$6 * 0.01</f>
        <v>2.3420789527768089</v>
      </c>
      <c r="BE48" s="207">
        <f>INDEX($A$44:$H$56,MATCH($L48,$B$44:$B$56,0),MATCH($BC$43,$A$44:$H$44,0))*고양시_Modal_split!E$6 * 0.01</f>
        <v>1.2161501626543027E-2</v>
      </c>
      <c r="BF48" s="207">
        <f>INDEX($A$44:$H$56,MATCH($L48,$B$44:$B$56,0),MATCH($BC$43,$A$44:$H$44,0))*고양시_Modal_split!F$6 * 0.01</f>
        <v>3.4504725545075561E-2</v>
      </c>
      <c r="BG48" s="207">
        <f>INDEX($A$44:$H$56,MATCH($L48,$B$44:$B$56,0),MATCH($BC$43,$A$44:$H$44,0))*고양시_Modal_split!G$6 * 0.01</f>
        <v>0</v>
      </c>
      <c r="BH48" s="207">
        <f>INDEX($A$44:$H$56,MATCH($L48,$B$44:$B$56,0),MATCH($BC$43,$A$44:$H$44,0))*고양시_Modal_split!H$6 * 0.01</f>
        <v>0.1501804038068453</v>
      </c>
      <c r="BI48" s="207">
        <f>INDEX($A$44:$H$56,MATCH($L48,$B$44:$B$56,0),MATCH($BC$43,$A$44:$H$44,0))*고양시_Modal_split!I$6 * 0.01</f>
        <v>0.10012026920456352</v>
      </c>
      <c r="BJ48" s="207">
        <f>INDEX($A$44:$H$56,MATCH($L48,$B$44:$B$56,0),MATCH($BC$43,$A$44:$H$44,0))*고양시_Modal_split!J$6 * 0.01</f>
        <v>0.13971585589563382</v>
      </c>
      <c r="BK48" s="207">
        <f>INDEX($A$44:$H$56,MATCH($L48,$B$44:$B$56,0),MATCH($BC$43,$A$44:$H$44,0))*고양시_Modal_split!K$6 * 0.01</f>
        <v>0</v>
      </c>
      <c r="BL48" s="207">
        <f>INDEX($A$44:$H$56,MATCH($L48,$B$44:$B$56,0),MATCH($BC$43,$A$44:$H$44,0))*고양시_Modal_split!L$6 * 0.01</f>
        <v>2.1494747060866747E-2</v>
      </c>
      <c r="BM48" s="207">
        <f>INDEX($A$44:$H$56,MATCH($L48,$B$44:$B$56,0),MATCH($BC$43,$A$44:$H$44,0))*고양시_Modal_split!M$6 * 0.01</f>
        <v>2.5737131349195707E-2</v>
      </c>
      <c r="BN48" s="207">
        <f>INDEX($A$44:$H$56,MATCH($L48,$B$44:$B$56,0),MATCH($BC$43,$A$44:$H$44,0))*고양시_Modal_split!N$6 * 0.01</f>
        <v>0</v>
      </c>
      <c r="BO48" s="207">
        <f>INDEX($A$44:$H$56,MATCH($L48,$B$44:$B$56,0),MATCH($BC$43,$A$44:$H$44,0))*고양시_Modal_split!O$6 * 0.01</f>
        <v>2.2626049537754472E-3</v>
      </c>
      <c r="BP48" s="214">
        <f>INDEX($A$44:$H$56,MATCH($L48,$B$44:$B$56,0),MATCH($BC$43,$A$44:$H$44,0))*고양시_Modal_split!P$6 * 0.01</f>
        <v>2.828256192219309</v>
      </c>
      <c r="BQ48" s="213">
        <f>INDEX($A$44:$H$56,MATCH($L48,$B$44:$B$56,0),MATCH($BQ$43,$A$44:$H$44,0))*고양시_Modal_split!C$7 * 0.01</f>
        <v>0</v>
      </c>
      <c r="BR48" s="207">
        <f>INDEX($A$44:$H$56,MATCH($L48,$B$44:$B$56,0),MATCH($BQ$43,$A$44:$H$44,0))*고양시_Modal_split!D$7 * 0.01</f>
        <v>4.9106069513440183</v>
      </c>
      <c r="BS48" s="207">
        <f>INDEX($A$44:$H$56,MATCH($L48,$B$44:$B$56,0),MATCH($BQ$43,$A$44:$H$44,0))*고양시_Modal_split!E$7 * 0.01</f>
        <v>0.23960043708418102</v>
      </c>
      <c r="BT48" s="207">
        <f>INDEX($A$44:$H$56,MATCH($L48,$B$44:$B$56,0),MATCH($BQ$43,$A$44:$H$44,0))*고양시_Modal_split!F$7 * 0.01</f>
        <v>8.0133925446214394E-2</v>
      </c>
      <c r="BU48" s="207">
        <f>INDEX($A$44:$H$56,MATCH($L48,$B$44:$B$56,0),MATCH($BQ$43,$A$44:$H$44,0))*고양시_Modal_split!G$7 * 0.01</f>
        <v>3.3656248687410045E-2</v>
      </c>
      <c r="BV48" s="207">
        <f>INDEX($A$44:$H$56,MATCH($L48,$B$44:$B$56,0),MATCH($BQ$43,$A$44:$H$44,0))*고양시_Modal_split!H$7 * 0.01</f>
        <v>0.44794864324433847</v>
      </c>
      <c r="BW48" s="207">
        <f>INDEX($A$44:$H$56,MATCH($L48,$B$44:$B$56,0),MATCH($BQ$43,$A$44:$H$44,0))*고양시_Modal_split!I$7 * 0.01</f>
        <v>1.496100388080823</v>
      </c>
      <c r="BX48" s="207">
        <f>INDEX($A$44:$H$56,MATCH($L48,$B$44:$B$56,0),MATCH($BQ$43,$A$44:$H$44,0))*고양시_Modal_split!J$7 * 0.01</f>
        <v>1.6026785089242879E-3</v>
      </c>
      <c r="BY48" s="207">
        <f>INDEX($A$44:$H$56,MATCH($L48,$B$44:$B$56,0),MATCH($BQ$43,$A$44:$H$44,0))*고양시_Modal_split!K$7 * 0.01</f>
        <v>0.61703122593585091</v>
      </c>
      <c r="BZ48" s="207">
        <f>INDEX($A$44:$H$56,MATCH($L48,$B$44:$B$56,0),MATCH($BQ$43,$A$44:$H$44,0))*고양시_Modal_split!L$7 * 0.01</f>
        <v>5.6093747812350067E-3</v>
      </c>
      <c r="CA48" s="207">
        <f>INDEX($A$44:$H$56,MATCH($L48,$B$44:$B$56,0),MATCH($BQ$43,$A$44:$H$44,0))*고양시_Modal_split!M$7 * 0.01</f>
        <v>0.14985044058442093</v>
      </c>
      <c r="CB48" s="207">
        <f>INDEX($A$44:$H$56,MATCH($L48,$B$44:$B$56,0),MATCH($BQ$43,$A$44:$H$44,0))*고양시_Modal_split!N$7 * 0.01</f>
        <v>3.1252230924023613E-2</v>
      </c>
      <c r="CC48" s="207">
        <f>INDEX($A$44:$H$56,MATCH($L48,$B$44:$B$56,0),MATCH($BQ$43,$A$44:$H$44,0))*고양시_Modal_split!O$7 * 0.01</f>
        <v>0</v>
      </c>
      <c r="CD48" s="214">
        <f>INDEX($A$44:$H$56,MATCH($L48,$B$44:$B$56,0),MATCH($BQ$43,$A$44:$H$44,0))*고양시_Modal_split!P$7 * 0.01</f>
        <v>8.0133925446214391</v>
      </c>
      <c r="CE48" s="218">
        <f t="shared" si="24"/>
        <v>7171.2447115249643</v>
      </c>
      <c r="CF48" s="208">
        <f t="shared" si="7"/>
        <v>9740.1854940834019</v>
      </c>
      <c r="CG48" s="208">
        <f t="shared" si="8"/>
        <v>2103.3279117335696</v>
      </c>
      <c r="CH48" s="208">
        <f t="shared" si="9"/>
        <v>523.00137075321379</v>
      </c>
      <c r="CI48" s="208">
        <f t="shared" si="10"/>
        <v>2789.8644763452721</v>
      </c>
      <c r="CJ48" s="208">
        <f t="shared" si="11"/>
        <v>1.6307489516320608</v>
      </c>
      <c r="CK48" s="208">
        <f t="shared" si="12"/>
        <v>933.4012598815907</v>
      </c>
      <c r="CL48" s="208">
        <f t="shared" si="13"/>
        <v>2094.7779518516822</v>
      </c>
      <c r="CM48" s="208">
        <f t="shared" si="14"/>
        <v>5.3642592445759929</v>
      </c>
      <c r="CN48" s="208">
        <f t="shared" si="15"/>
        <v>1205.0271259951439</v>
      </c>
      <c r="CO48" s="208">
        <f t="shared" si="16"/>
        <v>171.7649244330143</v>
      </c>
      <c r="CP48" s="208">
        <f t="shared" si="17"/>
        <v>593.04834405867871</v>
      </c>
      <c r="CQ48" s="208">
        <f t="shared" si="18"/>
        <v>275.61992950820553</v>
      </c>
      <c r="CR48" s="219">
        <f t="shared" si="19"/>
        <v>27608.258508364943</v>
      </c>
      <c r="CS48" s="225">
        <f t="shared" si="25"/>
        <v>0</v>
      </c>
      <c r="CV48" s="265"/>
      <c r="CW48" s="266" t="s">
        <v>15</v>
      </c>
      <c r="CX48" s="267">
        <f>INDEX($M$43:$Z$56,MATCH($CW48,$L$43:$L$56,0),MATCH(CX$44,$M$44:$Z$44,0))/INDEX(고양시_재차인원!$D$4:$H$35,MATCH("고양시",고양시_재차인원!$B$4:$B$35,0),MATCH('A.일산테크노밸리(859991)_수정'!$CX$43,고양시_재차인원!$D$4:$H$4,0))</f>
        <v>1270.5501974615497</v>
      </c>
      <c r="CY48" s="267">
        <f>INDEX($M$43:$Z$56,MATCH($CW48,$L$43:$L$56,0),MATCH(CY$44,$M$44:$Z$44,0))/INDEX(고양시_재차인원!$K$4:$O$20,MATCH("경기도",고양시_재차인원!$K$4:$K$20,0),MATCH('A.일산테크노밸리(859991)_수정'!CY$44,고양시_재차인원!$K$4:$O$4,0))</f>
        <v>1.0509769884135618E-2</v>
      </c>
      <c r="CZ48" s="267">
        <f>INDEX($M$43:$Z$56,MATCH($CW48,$L$43:$L$56,0),MATCH(CZ$44,$M$44:$Z$44,0))/INDEX(고양시_재차인원!$K$4:$O$20,MATCH("경기도",고양시_재차인원!$K$4:$K$20,0),MATCH('A.일산테크노밸리(859991)_수정'!CZ$44,고양시_재차인원!$K$4:$O$4,0))</f>
        <v>2.9217160277897016</v>
      </c>
      <c r="DA48" s="267">
        <f>INDEX($M$43:$Z$56,MATCH($CW48,$L$43:$L$56,0),MATCH(DA$44,$M$44:$Z$44,0))/INDEX(고양시_재차인원!$K$4:$O$20,MATCH("경기도",고양시_재차인원!$K$4:$K$20,0),MATCH('A.일산테크노밸리(859991)_수정'!DA$44,고양시_재차인원!$K$4:$O$4,0))</f>
        <v>60.91869002613857</v>
      </c>
      <c r="DB48" s="268">
        <f>INDEX($AA$43:$AN$56,MATCH($CW48,$L$43:$L$56,0),MATCH(DB$44,$AA$44:$AN$44,0))/INDEX(고양시_재차인원!$D$4:$H$35,MATCH("고양시",고양시_재차인원!$B$4:$B$35,0),MATCH('A.일산테크노밸리(859991)_수정'!$DB$43,고양시_재차인원!$D$4:$H$4,0))</f>
        <v>5351.5356019580422</v>
      </c>
      <c r="DC48" s="267">
        <f>INDEX($AA$43:$AN$56,MATCH($CW48,$L$43:$L$56,0),MATCH(DC$44,$AA$44:$AN$44,0))/INDEX(고양시_재차인원!$K$4:$O$20,MATCH("경기도",고양시_재차인원!$K$4:$K$20,0),MATCH('A.일산테크노밸리(859991)_수정'!DC$44,고양시_재차인원!$K$4:$O$4,0))</f>
        <v>0</v>
      </c>
      <c r="DD48" s="267">
        <f>INDEX($AA$43:$AN$56,MATCH($CW48,$L$43:$L$56,0),MATCH(DD$44,$AA$44:$AN$44,0))/INDEX(고양시_재차인원!$K$4:$O$20,MATCH("경기도",고양시_재차인원!$K$4:$K$20,0),MATCH('A.일산테크노밸리(859991)_수정'!DD$44,고양시_재차인원!$K$4:$O$4,0))</f>
        <v>28.440429504718288</v>
      </c>
      <c r="DE48" s="267">
        <f>INDEX($AA$43:$AN$56,MATCH($CW48,$L$43:$L$56,0),MATCH(DE$44,$AA$44:$AN$44,0))/INDEX(고양시_재차인원!$K$4:$O$20,MATCH("경기도",고양시_재차인원!$K$4:$K$20,0),MATCH('A.일산테크노밸리(859991)_수정'!DE$44,고양시_재차인원!$K$4:$O$4,0))</f>
        <v>724.68502688442106</v>
      </c>
      <c r="DF48" s="268">
        <f>INDEX($AO$43:$BB$56,MATCH($CW48,$L$43:$L$56,0),MATCH(DF$44,$AO$44:$BB$44,0))/INDEX(고양시_재차인원!$D$4:$H$35,MATCH("고양시",고양시_재차인원!$B$4:$B$35,0),MATCH('A.일산테크노밸리(859991)_수정'!$DF$43,고양시_재차인원!$D$4:$H$4,0))</f>
        <v>587.88568327808105</v>
      </c>
      <c r="DG48" s="267">
        <f>INDEX($AO$43:$BB$56,MATCH($CW48,$L$43:$L$56,0),MATCH(DG$44,$AO$44:$BB$44,0))/INDEX(고양시_재차인원!$K$4:$O$20,MATCH("경기도",고양시_재차인원!$K$4:$K$20,0),MATCH('A.일산테크노밸리(859991)_수정'!DG$44,고양시_재차인원!$K$4:$O$4,0))</f>
        <v>2.5357541841494014E-2</v>
      </c>
      <c r="DH48" s="267">
        <f>INDEX($AO$43:$BB$56,MATCH($CW48,$L$43:$L$56,0),MATCH(DH$44,$AO$44:$BB$44,0))/INDEX(고양시_재차인원!$K$4:$O$20,MATCH("경기도",고양시_재차인원!$K$4:$K$20,0),MATCH('A.일산테크노밸리(859991)_수정'!DH$44,고양시_재차인원!$K$4:$O$4,0))</f>
        <v>1.0034341557276918</v>
      </c>
      <c r="DI48" s="267">
        <f>INDEX($AO$43:$BB$56,MATCH($CW48,$L$43:$L$56,0),MATCH(DI$44,$AO$44:$BB$44,0))/INDEX(고양시_재차인원!$K$4:$O$20,MATCH("경기도",고양시_재차인원!$K$4:$K$20,0),MATCH('A.일산테크노밸리(859991)_수정'!DI$44,고양시_재차인원!$K$4:$O$4,0))</f>
        <v>17.72963100497488</v>
      </c>
      <c r="DJ48" s="268">
        <f>INDEX($BC$43:$BP$56,MATCH($CW48,$L$43:$L$56,0),MATCH(DJ$44,$BC$44:$BP$44,0))/INDEX(고양시_재차인원!$D$4:$H$35,MATCH("고양시",고양시_재차인원!$B$4:$B$35,0),MATCH('A.일산테크노밸리(859991)_수정'!$DJ$43,고양시_재차인원!$D$4:$H$4,0))</f>
        <v>1.7221168770417712</v>
      </c>
      <c r="DK48" s="267">
        <f>INDEX($BC$43:$BP$56,MATCH($CW48,$L$43:$L$56,0),MATCH(DK$44,$BC$44:$BP$44,0))/INDEX(고양시_재차인원!$K$4:$O$20,MATCH("경기도",고양시_재차인원!$K$4:$K$20,0),MATCH('A.일산테크노밸리(859991)_수정'!DK$44,고양시_재차인원!$K$4:$O$4,0))</f>
        <v>5.2164086073930287E-3</v>
      </c>
      <c r="DL48" s="267">
        <f>INDEX($BC$43:$BP$56,MATCH($CW48,$L$43:$L$56,0),MATCH(DL$44,$BC$44:$BP$44,0))/INDEX(고양시_재차인원!$K$4:$O$20,MATCH("경기도",고양시_재차인원!$K$4:$K$20,0),MATCH('A.일산테크노밸리(859991)_수정'!DL$44,고양시_재차인원!$K$4:$O$4,0))</f>
        <v>3.4776057382620187E-3</v>
      </c>
      <c r="DM48" s="267">
        <f>INDEX($BC$43:$BP$56,MATCH($CW48,$L$43:$L$56,0),MATCH(DM$44,$BC$44:$BP$44,0))/INDEX(고양시_재차인원!$K$4:$O$20,MATCH("경기도",고양시_재차인원!$K$4:$K$20,0),MATCH('A.일산테크노밸리(859991)_수정'!DM$44,고양시_재차인원!$K$4:$O$4,0))</f>
        <v>1.4329831373911165E-2</v>
      </c>
      <c r="DN48" s="268">
        <f>INDEX($BQ$43:$CD$56,MATCH($CW48,$L$43:$L$56,0),MATCH(DN$44,$BQ$44:$CD$44,0))/INDEX(고양시_재차인원!$D$4:$H$35,MATCH("고양시",고양시_재차인원!$B$4:$B$35,0),MATCH('A.일산테크노밸리(859991)_수정'!$DN$43,고양시_재차인원!$D$4:$H$4,0))</f>
        <v>3.8973071042412841</v>
      </c>
      <c r="DO48" s="267">
        <f>INDEX($BQ$43:$CD$56,MATCH($CW48,$L$43:$L$56,0),MATCH(DO$44,$BQ$44:$CD$44,0))/INDEX(고양시_재차인원!$K$4:$O$20,MATCH("경기도",고양시_재차인원!$K$4:$K$20,0),MATCH('A.일산테크노밸리(859991)_수정'!DO$44,고양시_재차인원!$K$4:$O$4,0))</f>
        <v>1.5559174826131937E-2</v>
      </c>
      <c r="DP48" s="267">
        <f>INDEX($BQ$43:$CD$56,MATCH($CW48,$L$43:$L$56,0),MATCH(DP$44,$BQ$44:$CD$44,0))/INDEX(고양시_재차인원!$K$4:$O$20,MATCH("경기도",고양시_재차인원!$K$4:$K$20,0),MATCH('A.일산테크노밸리(859991)_수정'!DP$44,고양시_재차인원!$K$4:$O$4,0))</f>
        <v>5.1965973882626713E-2</v>
      </c>
      <c r="DQ48" s="267">
        <f>INDEX($BQ$43:$CD$56,MATCH($CW48,$L$43:$L$56,0),MATCH(DQ$44,$BQ$44:$CD$44,0))/INDEX(고양시_재차인원!$K$4:$O$20,MATCH("경기도",고양시_재차인원!$K$4:$K$20,0),MATCH('A.일산테크노밸리(859991)_수정'!DQ$44,고양시_재차인원!$K$4:$O$4,0))</f>
        <v>3.7395831874900043E-3</v>
      </c>
      <c r="DR48" s="269">
        <f t="shared" si="26"/>
        <v>7215.5909066789563</v>
      </c>
      <c r="DS48" s="270">
        <f t="shared" si="20"/>
        <v>5.6642895159154598E-2</v>
      </c>
      <c r="DT48" s="270">
        <f t="shared" si="21"/>
        <v>32.421023267856569</v>
      </c>
      <c r="DU48" s="270">
        <f t="shared" si="22"/>
        <v>803.35141733009584</v>
      </c>
      <c r="DW48" s="278"/>
      <c r="DX48" s="278" t="s">
        <v>594</v>
      </c>
      <c r="DY48" s="281">
        <f t="shared" si="27"/>
        <v>8018.9423240090518</v>
      </c>
      <c r="DZ48" s="281">
        <f t="shared" si="28"/>
        <v>32.477666163015726</v>
      </c>
      <c r="EC48" s="412" t="s">
        <v>14</v>
      </c>
      <c r="ED48" s="412" t="s">
        <v>569</v>
      </c>
      <c r="EE48" s="412">
        <v>5454.9395000000004</v>
      </c>
      <c r="EF48" s="412">
        <v>0.43129277327301779</v>
      </c>
      <c r="EG48" s="413">
        <v>859004</v>
      </c>
      <c r="EH48" s="414">
        <f t="shared" si="29"/>
        <v>119.07548954480848</v>
      </c>
      <c r="EI48" s="415">
        <f t="shared" si="30"/>
        <v>0.48226983576813071</v>
      </c>
      <c r="EJ48" s="402">
        <v>0</v>
      </c>
      <c r="EM48" s="278" t="s">
        <v>14</v>
      </c>
      <c r="EN48" s="278" t="s">
        <v>569</v>
      </c>
      <c r="EO48" s="278">
        <v>5454.9395000000004</v>
      </c>
      <c r="EP48" s="278">
        <v>0.43129277327301779</v>
      </c>
      <c r="EQ48" s="289">
        <v>859004</v>
      </c>
      <c r="ER48" s="290">
        <f t="shared" si="31"/>
        <v>119.07548954480848</v>
      </c>
      <c r="ES48" s="291">
        <f t="shared" si="23"/>
        <v>0.48226983576813071</v>
      </c>
      <c r="ET48" s="402">
        <v>0</v>
      </c>
      <c r="EV48" s="34"/>
      <c r="EW48" s="34"/>
      <c r="EX48" s="34"/>
      <c r="EY48" s="34"/>
      <c r="EZ48" s="378"/>
      <c r="FA48" s="401"/>
      <c r="FB48" s="402"/>
      <c r="FC48" s="402"/>
    </row>
    <row r="49" spans="1:159" ht="27" customHeight="1">
      <c r="A49" s="205"/>
      <c r="B49" s="205" t="s">
        <v>16</v>
      </c>
      <c r="C49" s="400">
        <f>'A.일산테크노밸리(859991)_수정'!$P32*KTDB_TripDistribution_2040!L$12 * (1 + KTDB_발생량도착량_증가율!$D$7*5) * (1 + KTDB_발생량도착량_증가율!$E$7*5) * (1 + KTDB_발생량도착량_증가율!$F$7*5)</f>
        <v>327.95525510657677</v>
      </c>
      <c r="D49" s="400">
        <f>'A.일산테크노밸리(859991)_수정'!$P32*KTDB_TripDistribution_2040!M$12 * (1 + KTDB_발생량도착량_증가율!$D$7*5) * (1 + KTDB_발생량도착량_증가율!$E$7*5) * (1 + KTDB_발생량도착량_증가율!$F$7*5)</f>
        <v>2550.2237978882613</v>
      </c>
      <c r="E49" s="400">
        <f>'A.일산테크노밸리(859991)_수정'!$P32*KTDB_TripDistribution_2040!N$12 * (1 + KTDB_발생량도착량_증가율!$D$7*5) * (1 + KTDB_발생량도착량_증가율!$E$7*5) * (1 + KTDB_발생량도착량_증가율!$F$7*5)</f>
        <v>113.03957032610997</v>
      </c>
      <c r="F49" s="400">
        <f>'A.일산테크노밸리(859991)_수정'!$P32*KTDB_TripDistribution_2040!O$12 * (1 + KTDB_발생량도착량_증가율!$D$7*5) * (1 + KTDB_발생량도착량_증가율!$E$7*5) * (1 + KTDB_발생량도착량_증가율!$F$7*5)</f>
        <v>0.3065479873250424</v>
      </c>
      <c r="G49" s="400">
        <f>'A.일산테크노밸리(859991)_수정'!$P32*KTDB_TripDistribution_2040!P$12 * (1 + KTDB_발생량도착량_증가율!$D$7*5) * (1 + KTDB_발생량도착량_증가율!$E$7*5) * (1 + KTDB_발생량도착량_증가율!$F$7*5)</f>
        <v>0.86855263075429379</v>
      </c>
      <c r="H49" s="400">
        <f>'A.일산테크노밸리(859991)_수정'!$P32*KTDB_TripDistribution_2040!Q$12 * (1 + KTDB_발생량도착량_증가율!$D$7*5) * (1 + KTDB_발생량도착량_증가율!$E$7*5) * (1 + KTDB_발생량도착량_증가율!$F$7*5)</f>
        <v>2992.3937239390275</v>
      </c>
      <c r="J49" s="230">
        <f t="shared" si="6"/>
        <v>2992.3937239390275</v>
      </c>
      <c r="K49" s="206"/>
      <c r="L49" s="209" t="s">
        <v>16</v>
      </c>
      <c r="M49" s="213">
        <f>INDEX($A$44:$H$56,MATCH($L49,$B$44:$B$56,0),MATCH($M$43,$A$44:$H$44,0))*고양시_Modal_split!C$3 * 0.01</f>
        <v>0.91827471429841478</v>
      </c>
      <c r="N49" s="207">
        <f>INDEX($A$44:$H$56,MATCH($L49,$B$44:$B$56,0),MATCH($M$43,$A$44:$H$44,0))*고양시_Modal_split!D$3 * 0.01</f>
        <v>154.23735647662306</v>
      </c>
      <c r="O49" s="207">
        <f>INDEX($A$44:$H$56,MATCH($L49,$B$44:$B$56,0),MATCH($M$43,$A$44:$H$44,0))*고양시_Modal_split!E$3 * 0.01</f>
        <v>18.660654015564216</v>
      </c>
      <c r="P49" s="207">
        <f>INDEX($A$44:$H$56,MATCH($L49,$B$44:$B$56,0),MATCH($M$43,$A$44:$H$44,0))*고양시_Modal_split!F$3 * 0.01</f>
        <v>30.073496893273092</v>
      </c>
      <c r="Q49" s="207">
        <f>INDEX($A$44:$H$56,MATCH($L49,$B$44:$B$56,0),MATCH($M$43,$A$44:$H$44,0))*고양시_Modal_split!G$3 * 0.01</f>
        <v>3.0171883469805061</v>
      </c>
      <c r="R49" s="207">
        <f>INDEX($A$44:$H$56,MATCH($L49,$B$44:$B$56,0),MATCH($M$43,$A$44:$H$44,0))*고양시_Modal_split!H$3 * 0.01</f>
        <v>3.2795525510657682E-2</v>
      </c>
      <c r="S49" s="207">
        <f>INDEX($A$44:$H$56,MATCH($L49,$B$44:$B$56,0),MATCH($M$43,$A$44:$H$44,0))*고양시_Modal_split!I$3 * 0.01</f>
        <v>9.1171560919628334</v>
      </c>
      <c r="T49" s="207">
        <f>INDEX($A$44:$H$56,MATCH($L49,$B$44:$B$56,0),MATCH($M$43,$A$44:$H$44,0))*고양시_Modal_split!J$3 * 0.01</f>
        <v>99.829579654441972</v>
      </c>
      <c r="U49" s="207">
        <f>INDEX($A$44:$H$56,MATCH($L49,$B$44:$B$56,0),MATCH($M$43,$A$44:$H$44,0))*고양시_Modal_split!K$3 * 0.01</f>
        <v>0.49193288265986518</v>
      </c>
      <c r="V49" s="207">
        <f>INDEX($A$44:$H$56,MATCH($L49,$B$44:$B$56,0),MATCH($M$43,$A$44:$H$44,0))*고양시_Modal_split!L$3 * 0.01</f>
        <v>9.9042487042186185</v>
      </c>
      <c r="W49" s="207">
        <f>INDEX($A$44:$H$56,MATCH($L49,$B$44:$B$56,0),MATCH($M$43,$A$44:$H$44,0))*고양시_Modal_split!M$3 * 0.01</f>
        <v>0.75429708674512652</v>
      </c>
      <c r="X49" s="207">
        <f>INDEX($A$44:$H$56,MATCH($L49,$B$44:$B$56,0),MATCH($M$43,$A$44:$H$44,0))*고양시_Modal_split!N$3 * 0.01</f>
        <v>0.32795525510657675</v>
      </c>
      <c r="Y49" s="207">
        <f>INDEX($A$44:$H$56,MATCH($L49,$B$44:$B$56,0),MATCH($M$43,$A$44:$H$44,0))*고양시_Modal_split!O$3 * 0.01</f>
        <v>0.59031945919183826</v>
      </c>
      <c r="Z49" s="214">
        <f>INDEX($A$44:$H$56,MATCH($L49,$B$44:$B$56,0),MATCH($M$43,$A$44:$H$44,0))*고양시_Modal_split!P$3 * 0.01</f>
        <v>327.95525510657683</v>
      </c>
      <c r="AA49" s="213">
        <f>INDEX($A$44:$H$56,MATCH($L49,$B$44:$B$56,0),MATCH($AA$43,$A$44:$H$44,0))*고양시_Modal_split!C$4 * 0.01</f>
        <v>776.28812407718681</v>
      </c>
      <c r="AB49" s="207">
        <f>INDEX($A$44:$H$56,MATCH($L49,$B$44:$B$56,0),MATCH($AA$43,$A$44:$H$44,0))*고양시_Modal_split!D$4 * 0.01</f>
        <v>817.85677198276539</v>
      </c>
      <c r="AC49" s="207">
        <f>INDEX($A$44:$H$56,MATCH($L49,$B$44:$B$56,0),MATCH($AA$43,$A$44:$H$44,0))*고양시_Modal_split!E$4 * 0.01</f>
        <v>198.1523890959179</v>
      </c>
      <c r="AD49" s="207">
        <f>INDEX($A$44:$H$56,MATCH($L49,$B$44:$B$56,0),MATCH($AA$43,$A$44:$H$44,0))*고양시_Modal_split!F$4 * 0.01</f>
        <v>24.227126079938479</v>
      </c>
      <c r="AE49" s="207">
        <f>INDEX($A$44:$H$56,MATCH($L49,$B$44:$B$56,0),MATCH($AA$43,$A$44:$H$44,0))*고양시_Modal_split!G$4 * 0.01</f>
        <v>298.63120673271538</v>
      </c>
      <c r="AF49" s="207">
        <f>INDEX($A$44:$H$56,MATCH($L49,$B$44:$B$56,0),MATCH($AA$43,$A$44:$H$44,0))*고양시_Modal_split!H$4 * 0.01</f>
        <v>0</v>
      </c>
      <c r="AG49" s="207">
        <f>INDEX($A$44:$H$56,MATCH($L49,$B$44:$B$56,0),MATCH($AA$43,$A$44:$H$44,0))*고양시_Modal_split!I$4 * 0.01</f>
        <v>88.747788166511469</v>
      </c>
      <c r="AH49" s="207">
        <f>INDEX($A$44:$H$56,MATCH($L49,$B$44:$B$56,0),MATCH($AA$43,$A$44:$H$44,0))*고양시_Modal_split!J$4 * 0.01</f>
        <v>120.1155408805371</v>
      </c>
      <c r="AI49" s="207">
        <f>INDEX($A$44:$H$56,MATCH($L49,$B$44:$B$56,0),MATCH($AA$43,$A$44:$H$44,0))*고양시_Modal_split!K$4 * 0.01</f>
        <v>0</v>
      </c>
      <c r="AJ49" s="207">
        <f>INDEX($A$44:$H$56,MATCH($L49,$B$44:$B$56,0),MATCH($AA$43,$A$44:$H$44,0))*고양시_Modal_split!L$4 * 0.01</f>
        <v>117.82033946243769</v>
      </c>
      <c r="AK49" s="207">
        <f>INDEX($A$44:$H$56,MATCH($L49,$B$44:$B$56,0),MATCH($AA$43,$A$44:$H$44,0))*고양시_Modal_split!M$4 * 0.01</f>
        <v>17.086499445851352</v>
      </c>
      <c r="AL49" s="207">
        <f>INDEX($A$44:$H$56,MATCH($L49,$B$44:$B$56,0),MATCH($AA$43,$A$44:$H$44,0))*고양시_Modal_split!N$4 * 0.01</f>
        <v>63.755594947206539</v>
      </c>
      <c r="AM49" s="207">
        <f>INDEX($A$44:$H$56,MATCH($L49,$B$44:$B$56,0),MATCH($AA$43,$A$44:$H$44,0))*고양시_Modal_split!O$4 * 0.01</f>
        <v>27.542417017193227</v>
      </c>
      <c r="AN49" s="214">
        <f>INDEX($A$44:$H$56,MATCH($L49,$B$44:$B$56,0),MATCH($AA$43,$A$44:$H$44,0))*고양시_Modal_split!P$4 * 0.01</f>
        <v>2550.2237978882613</v>
      </c>
      <c r="AO49" s="213">
        <f>INDEX($A$44:$H$56,MATCH($L49,$B$44:$B$56,0),MATCH($AO$43,$A$44:$H$44,0))*고양시_Modal_split!C$5 * 0.01</f>
        <v>6.7823742195665976E-2</v>
      </c>
      <c r="AP49" s="207">
        <f>INDEX($A$44:$H$56,MATCH($L49,$B$44:$B$56,0),MATCH($AO$43,$A$44:$H$44,0))*고양시_Modal_split!D$5 * 0.01</f>
        <v>82.835397134973391</v>
      </c>
      <c r="AQ49" s="207">
        <f>INDEX($A$44:$H$56,MATCH($L49,$B$44:$B$56,0),MATCH($AO$43,$A$44:$H$44,0))*고양시_Modal_split!E$5 * 0.01</f>
        <v>11.13439767712183</v>
      </c>
      <c r="AR49" s="207">
        <f>INDEX($A$44:$H$56,MATCH($L49,$B$44:$B$56,0),MATCH($AO$43,$A$44:$H$44,0))*고양시_Modal_split!F$5 * 0.01</f>
        <v>2.3738309768483097</v>
      </c>
      <c r="AS49" s="207">
        <f>INDEX($A$44:$H$56,MATCH($L49,$B$44:$B$56,0),MATCH($AO$43,$A$44:$H$44,0))*고양시_Modal_split!G$5 * 0.01</f>
        <v>0.73475720711971482</v>
      </c>
      <c r="AT49" s="207">
        <f>INDEX($A$44:$H$56,MATCH($L49,$B$44:$B$56,0),MATCH($AO$43,$A$44:$H$44,0))*고양시_Modal_split!H$5 * 0.01</f>
        <v>7.9127699228276976E-2</v>
      </c>
      <c r="AU49" s="207">
        <f>INDEX($A$44:$H$56,MATCH($L49,$B$44:$B$56,0),MATCH($AO$43,$A$44:$H$44,0))*고양시_Modal_split!I$5 * 0.01</f>
        <v>3.1311960980332465</v>
      </c>
      <c r="AV49" s="207">
        <f>INDEX($A$44:$H$56,MATCH($L49,$B$44:$B$56,0),MATCH($AO$43,$A$44:$H$44,0))*고양시_Modal_split!J$5 * 0.01</f>
        <v>7.0875810594470954</v>
      </c>
      <c r="AW49" s="207">
        <f>INDEX($A$44:$H$56,MATCH($L49,$B$44:$B$56,0),MATCH($AO$43,$A$44:$H$44,0))*고양시_Modal_split!K$5 * 0.01</f>
        <v>2.2607914065221994E-2</v>
      </c>
      <c r="AX49" s="207">
        <f>INDEX($A$44:$H$56,MATCH($L49,$B$44:$B$56,0),MATCH($AO$43,$A$44:$H$44,0))*고양시_Modal_split!L$5 * 0.01</f>
        <v>2.882509043315804</v>
      </c>
      <c r="AY49" s="207">
        <f>INDEX($A$44:$H$56,MATCH($L49,$B$44:$B$56,0),MATCH($AO$43,$A$44:$H$44,0))*고양시_Modal_split!M$5 * 0.01</f>
        <v>0.75736512118493682</v>
      </c>
      <c r="AZ49" s="207">
        <f>INDEX($A$44:$H$56,MATCH($L49,$B$44:$B$56,0),MATCH($AO$43,$A$44:$H$44,0))*고양시_Modal_split!N$5 * 0.01</f>
        <v>0.19216726955438693</v>
      </c>
      <c r="BA49" s="207">
        <f>INDEX($A$44:$H$56,MATCH($L49,$B$44:$B$56,0),MATCH($AO$43,$A$44:$H$44,0))*고양시_Modal_split!O$5 * 0.01</f>
        <v>1.7408093830220934</v>
      </c>
      <c r="BB49" s="214">
        <f>INDEX($A$44:$H$56,MATCH($L49,$B$44:$B$56,0),MATCH($AO$43,$A$44:$H$44,0))*고양시_Modal_split!P$5 * 0.01</f>
        <v>113.03957032610995</v>
      </c>
      <c r="BC49" s="213">
        <f>INDEX($A$44:$H$56,MATCH($L49,$B$44:$B$56,0),MATCH($BC$43,$A$44:$H$44,0))*고양시_Modal_split!C$6 * 0.01</f>
        <v>0</v>
      </c>
      <c r="BD49" s="207">
        <f>INDEX($A$44:$H$56,MATCH($L49,$B$44:$B$56,0),MATCH($BC$43,$A$44:$H$44,0))*고양시_Modal_split!D$6 * 0.01</f>
        <v>0.25385238830386758</v>
      </c>
      <c r="BE49" s="207">
        <f>INDEX($A$44:$H$56,MATCH($L49,$B$44:$B$56,0),MATCH($BC$43,$A$44:$H$44,0))*고양시_Modal_split!E$6 * 0.01</f>
        <v>1.3181563454976821E-3</v>
      </c>
      <c r="BF49" s="207">
        <f>INDEX($A$44:$H$56,MATCH($L49,$B$44:$B$56,0),MATCH($BC$43,$A$44:$H$44,0))*고양시_Modal_split!F$6 * 0.01</f>
        <v>3.7398854453655171E-3</v>
      </c>
      <c r="BG49" s="207">
        <f>INDEX($A$44:$H$56,MATCH($L49,$B$44:$B$56,0),MATCH($BC$43,$A$44:$H$44,0))*고양시_Modal_split!G$6 * 0.01</f>
        <v>0</v>
      </c>
      <c r="BH49" s="207">
        <f>INDEX($A$44:$H$56,MATCH($L49,$B$44:$B$56,0),MATCH($BC$43,$A$44:$H$44,0))*고양시_Modal_split!H$6 * 0.01</f>
        <v>1.6277698126959755E-2</v>
      </c>
      <c r="BI49" s="207">
        <f>INDEX($A$44:$H$56,MATCH($L49,$B$44:$B$56,0),MATCH($BC$43,$A$44:$H$44,0))*고양시_Modal_split!I$6 * 0.01</f>
        <v>1.0851798751306501E-2</v>
      </c>
      <c r="BJ49" s="207">
        <f>INDEX($A$44:$H$56,MATCH($L49,$B$44:$B$56,0),MATCH($BC$43,$A$44:$H$44,0))*고양시_Modal_split!J$6 * 0.01</f>
        <v>1.5143470573857095E-2</v>
      </c>
      <c r="BK49" s="207">
        <f>INDEX($A$44:$H$56,MATCH($L49,$B$44:$B$56,0),MATCH($BC$43,$A$44:$H$44,0))*고양시_Modal_split!K$6 * 0.01</f>
        <v>0</v>
      </c>
      <c r="BL49" s="207">
        <f>INDEX($A$44:$H$56,MATCH($L49,$B$44:$B$56,0),MATCH($BC$43,$A$44:$H$44,0))*고양시_Modal_split!L$6 * 0.01</f>
        <v>2.3297647036703223E-3</v>
      </c>
      <c r="BM49" s="207">
        <f>INDEX($A$44:$H$56,MATCH($L49,$B$44:$B$56,0),MATCH($BC$43,$A$44:$H$44,0))*고양시_Modal_split!M$6 * 0.01</f>
        <v>2.7895866846578861E-3</v>
      </c>
      <c r="BN49" s="207">
        <f>INDEX($A$44:$H$56,MATCH($L49,$B$44:$B$56,0),MATCH($BC$43,$A$44:$H$44,0))*고양시_Modal_split!N$6 * 0.01</f>
        <v>0</v>
      </c>
      <c r="BO49" s="207">
        <f>INDEX($A$44:$H$56,MATCH($L49,$B$44:$B$56,0),MATCH($BC$43,$A$44:$H$44,0))*고양시_Modal_split!O$6 * 0.01</f>
        <v>2.4523838986003396E-4</v>
      </c>
      <c r="BP49" s="214">
        <f>INDEX($A$44:$H$56,MATCH($L49,$B$44:$B$56,0),MATCH($BC$43,$A$44:$H$44,0))*고양시_Modal_split!P$6 * 0.01</f>
        <v>0.3065479873250424</v>
      </c>
      <c r="BQ49" s="213">
        <f>INDEX($A$44:$H$56,MATCH($L49,$B$44:$B$56,0),MATCH($BQ$43,$A$44:$H$44,0))*고양시_Modal_split!C$7 * 0.01</f>
        <v>0</v>
      </c>
      <c r="BR49" s="207">
        <f>INDEX($A$44:$H$56,MATCH($L49,$B$44:$B$56,0),MATCH($BQ$43,$A$44:$H$44,0))*고양시_Modal_split!D$7 * 0.01</f>
        <v>0.5322490521262313</v>
      </c>
      <c r="BS49" s="207">
        <f>INDEX($A$44:$H$56,MATCH($L49,$B$44:$B$56,0),MATCH($BQ$43,$A$44:$H$44,0))*고양시_Modal_split!E$7 * 0.01</f>
        <v>2.5969723659553381E-2</v>
      </c>
      <c r="BT49" s="207">
        <f>INDEX($A$44:$H$56,MATCH($L49,$B$44:$B$56,0),MATCH($BQ$43,$A$44:$H$44,0))*고양시_Modal_split!F$7 * 0.01</f>
        <v>8.685526307542938E-3</v>
      </c>
      <c r="BU49" s="207">
        <f>INDEX($A$44:$H$56,MATCH($L49,$B$44:$B$56,0),MATCH($BQ$43,$A$44:$H$44,0))*고양시_Modal_split!G$7 * 0.01</f>
        <v>3.6479210491680335E-3</v>
      </c>
      <c r="BV49" s="207">
        <f>INDEX($A$44:$H$56,MATCH($L49,$B$44:$B$56,0),MATCH($BQ$43,$A$44:$H$44,0))*고양시_Modal_split!H$7 * 0.01</f>
        <v>4.8552092059165018E-2</v>
      </c>
      <c r="BW49" s="207">
        <f>INDEX($A$44:$H$56,MATCH($L49,$B$44:$B$56,0),MATCH($BQ$43,$A$44:$H$44,0))*고양시_Modal_split!I$7 * 0.01</f>
        <v>0.16215877616182667</v>
      </c>
      <c r="BX49" s="207">
        <f>INDEX($A$44:$H$56,MATCH($L49,$B$44:$B$56,0),MATCH($BQ$43,$A$44:$H$44,0))*고양시_Modal_split!J$7 * 0.01</f>
        <v>1.7371052615085876E-4</v>
      </c>
      <c r="BY49" s="207">
        <f>INDEX($A$44:$H$56,MATCH($L49,$B$44:$B$56,0),MATCH($BQ$43,$A$44:$H$44,0))*고양시_Modal_split!K$7 * 0.01</f>
        <v>6.6878552568080632E-2</v>
      </c>
      <c r="BZ49" s="207">
        <f>INDEX($A$44:$H$56,MATCH($L49,$B$44:$B$56,0),MATCH($BQ$43,$A$44:$H$44,0))*고양시_Modal_split!L$7 * 0.01</f>
        <v>6.0798684152800562E-4</v>
      </c>
      <c r="CA49" s="207">
        <f>INDEX($A$44:$H$56,MATCH($L49,$B$44:$B$56,0),MATCH($BQ$43,$A$44:$H$44,0))*고양시_Modal_split!M$7 * 0.01</f>
        <v>1.6241934195105296E-2</v>
      </c>
      <c r="CB49" s="207">
        <f>INDEX($A$44:$H$56,MATCH($L49,$B$44:$B$56,0),MATCH($BQ$43,$A$44:$H$44,0))*고양시_Modal_split!N$7 * 0.01</f>
        <v>3.3873552599417455E-3</v>
      </c>
      <c r="CC49" s="207">
        <f>INDEX($A$44:$H$56,MATCH($L49,$B$44:$B$56,0),MATCH($BQ$43,$A$44:$H$44,0))*고양시_Modal_split!O$7 * 0.01</f>
        <v>0</v>
      </c>
      <c r="CD49" s="214">
        <f>INDEX($A$44:$H$56,MATCH($L49,$B$44:$B$56,0),MATCH($BQ$43,$A$44:$H$44,0))*고양시_Modal_split!P$7 * 0.01</f>
        <v>0.86855263075429379</v>
      </c>
      <c r="CE49" s="218">
        <f t="shared" si="24"/>
        <v>777.27422253368081</v>
      </c>
      <c r="CF49" s="208">
        <f t="shared" si="7"/>
        <v>1055.7156270347919</v>
      </c>
      <c r="CG49" s="208">
        <f t="shared" si="8"/>
        <v>227.97472866860898</v>
      </c>
      <c r="CH49" s="208">
        <f t="shared" si="9"/>
        <v>56.686879361812792</v>
      </c>
      <c r="CI49" s="208">
        <f t="shared" si="10"/>
        <v>302.38680020786478</v>
      </c>
      <c r="CJ49" s="208">
        <f t="shared" si="11"/>
        <v>0.17675301492505943</v>
      </c>
      <c r="CK49" s="208">
        <f t="shared" si="12"/>
        <v>101.16915093142069</v>
      </c>
      <c r="CL49" s="208">
        <f t="shared" si="13"/>
        <v>227.0480187755262</v>
      </c>
      <c r="CM49" s="208">
        <f t="shared" si="14"/>
        <v>0.58141934929316774</v>
      </c>
      <c r="CN49" s="208">
        <f t="shared" si="15"/>
        <v>130.61003496151727</v>
      </c>
      <c r="CO49" s="208">
        <f t="shared" si="16"/>
        <v>18.617193174661175</v>
      </c>
      <c r="CP49" s="208">
        <f t="shared" si="17"/>
        <v>64.279104827127455</v>
      </c>
      <c r="CQ49" s="208">
        <f t="shared" si="18"/>
        <v>29.873791097797017</v>
      </c>
      <c r="CR49" s="219">
        <f t="shared" si="19"/>
        <v>2992.3937239390275</v>
      </c>
      <c r="CS49" s="225">
        <f t="shared" si="25"/>
        <v>0</v>
      </c>
      <c r="CV49" s="265"/>
      <c r="CW49" s="266" t="s">
        <v>16</v>
      </c>
      <c r="CX49" s="267">
        <f>INDEX($M$43:$Z$56,MATCH($CW49,$L$43:$L$56,0),MATCH(CX$44,$M$44:$Z$44,0))/INDEX(고양시_재차인원!$D$4:$H$35,MATCH("고양시",고양시_재차인원!$B$4:$B$35,0),MATCH('A.일산테크노밸리(859991)_수정'!$CX$43,고양시_재차인원!$D$4:$H$4,0))</f>
        <v>137.7119254255563</v>
      </c>
      <c r="CY49" s="267">
        <f>INDEX($M$43:$Z$56,MATCH($CW49,$L$43:$L$56,0),MATCH(CY$44,$M$44:$Z$44,0))/INDEX(고양시_재차인원!$K$4:$O$20,MATCH("경기도",고양시_재차인원!$K$4:$K$20,0),MATCH('A.일산테크노밸리(859991)_수정'!CY$44,고양시_재차인원!$K$4:$O$4,0))</f>
        <v>1.1391290555976966E-3</v>
      </c>
      <c r="CZ49" s="267">
        <f>INDEX($M$43:$Z$56,MATCH($CW49,$L$43:$L$56,0),MATCH(CZ$44,$M$44:$Z$44,0))/INDEX(고양시_재차인원!$K$4:$O$20,MATCH("경기도",고양시_재차인원!$K$4:$K$20,0),MATCH('A.일산테크노밸리(859991)_수정'!CZ$44,고양시_재차인원!$K$4:$O$4,0))</f>
        <v>0.31667787745615955</v>
      </c>
      <c r="DA49" s="267">
        <f>INDEX($M$43:$Z$56,MATCH($CW49,$L$43:$L$56,0),MATCH(DA$44,$M$44:$Z$44,0))/INDEX(고양시_재차인원!$K$4:$O$20,MATCH("경기도",고양시_재차인원!$K$4:$K$20,0),MATCH('A.일산테크노밸리(859991)_수정'!DA$44,고양시_재차인원!$K$4:$O$4,0))</f>
        <v>6.602832469479079</v>
      </c>
      <c r="DB49" s="268">
        <f>INDEX($AA$43:$AN$56,MATCH($CW49,$L$43:$L$56,0),MATCH(DB$44,$AA$44:$AN$44,0))/INDEX(고양시_재차인원!$D$4:$H$35,MATCH("고양시",고양시_재차인원!$B$4:$B$35,0),MATCH('A.일산테크노밸리(859991)_수정'!$DB$43,고양시_재차인원!$D$4:$H$4,0))</f>
        <v>580.0402638175641</v>
      </c>
      <c r="DC49" s="267">
        <f>INDEX($AA$43:$AN$56,MATCH($CW49,$L$43:$L$56,0),MATCH(DC$44,$AA$44:$AN$44,0))/INDEX(고양시_재차인원!$K$4:$O$20,MATCH("경기도",고양시_재차인원!$K$4:$K$20,0),MATCH('A.일산테크노밸리(859991)_수정'!DC$44,고양시_재차인원!$K$4:$O$4,0))</f>
        <v>0</v>
      </c>
      <c r="DD49" s="267">
        <f>INDEX($AA$43:$AN$56,MATCH($CW49,$L$43:$L$56,0),MATCH(DD$44,$AA$44:$AN$44,0))/INDEX(고양시_재차인원!$K$4:$O$20,MATCH("경기도",고양시_재차인원!$K$4:$K$20,0),MATCH('A.일산테크노밸리(859991)_수정'!DD$44,고양시_재차인원!$K$4:$O$4,0))</f>
        <v>3.0825907664644485</v>
      </c>
      <c r="DE49" s="267">
        <f>INDEX($AA$43:$AN$56,MATCH($CW49,$L$43:$L$56,0),MATCH(DE$44,$AA$44:$AN$44,0))/INDEX(고양시_재차인원!$K$4:$O$20,MATCH("경기도",고양시_재차인원!$K$4:$K$20,0),MATCH('A.일산테크노밸리(859991)_수정'!DE$44,고양시_재차인원!$K$4:$O$4,0))</f>
        <v>78.546892974958453</v>
      </c>
      <c r="DF49" s="268">
        <f>INDEX($AO$43:$BB$56,MATCH($CW49,$L$43:$L$56,0),MATCH(DF$44,$AO$44:$BB$44,0))/INDEX(고양시_재차인원!$D$4:$H$35,MATCH("고양시",고양시_재차인원!$B$4:$B$35,0),MATCH('A.일산테크노밸리(859991)_수정'!$DF$43,고양시_재차인원!$D$4:$H$4,0))</f>
        <v>63.719536257671834</v>
      </c>
      <c r="DG49" s="267">
        <f>INDEX($AO$43:$BB$56,MATCH($CW49,$L$43:$L$56,0),MATCH(DG$44,$AO$44:$BB$44,0))/INDEX(고양시_재차인원!$K$4:$O$20,MATCH("경기도",고양시_재차인원!$K$4:$K$20,0),MATCH('A.일산테크노밸리(859991)_수정'!DG$44,고양시_재차인원!$K$4:$O$4,0))</f>
        <v>2.7484438773281339E-3</v>
      </c>
      <c r="DH49" s="267">
        <f>INDEX($AO$43:$BB$56,MATCH($CW49,$L$43:$L$56,0),MATCH(DH$44,$AO$44:$BB$44,0))/INDEX(고양시_재차인원!$K$4:$O$20,MATCH("경기도",고양시_재차인원!$K$4:$K$20,0),MATCH('A.일산테크노밸리(859991)_수정'!DH$44,고양시_재차인원!$K$4:$O$4,0))</f>
        <v>0.10875985057427046</v>
      </c>
      <c r="DI49" s="267">
        <f>INDEX($AO$43:$BB$56,MATCH($CW49,$L$43:$L$56,0),MATCH(DI$44,$AO$44:$BB$44,0))/INDEX(고양시_재차인원!$K$4:$O$20,MATCH("경기도",고양시_재차인원!$K$4:$K$20,0),MATCH('A.일산테크노밸리(859991)_수정'!DI$44,고양시_재차인원!$K$4:$O$4,0))</f>
        <v>1.9216726955438694</v>
      </c>
      <c r="DJ49" s="268">
        <f>INDEX($BC$43:$BP$56,MATCH($CW49,$L$43:$L$56,0),MATCH(DJ$44,$BC$44:$BP$44,0))/INDEX(고양시_재차인원!$D$4:$H$35,MATCH("고양시",고양시_재차인원!$B$4:$B$35,0),MATCH('A.일산테크노밸리(859991)_수정'!$DJ$43,고양시_재차인원!$D$4:$H$4,0))</f>
        <v>0.18665616787049086</v>
      </c>
      <c r="DK49" s="267">
        <f>INDEX($BC$43:$BP$56,MATCH($CW49,$L$43:$L$56,0),MATCH(DK$44,$BC$44:$BP$44,0))/INDEX(고양시_재차인원!$K$4:$O$20,MATCH("경기도",고양시_재차인원!$K$4:$K$20,0),MATCH('A.일산테크노밸리(859991)_수정'!DK$44,고양시_재차인원!$K$4:$O$4,0))</f>
        <v>5.6539416905035627E-4</v>
      </c>
      <c r="DL49" s="267">
        <f>INDEX($BC$43:$BP$56,MATCH($CW49,$L$43:$L$56,0),MATCH(DL$44,$BC$44:$BP$44,0))/INDEX(고양시_재차인원!$K$4:$O$20,MATCH("경기도",고양시_재차인원!$K$4:$K$20,0),MATCH('A.일산테크노밸리(859991)_수정'!DL$44,고양시_재차인원!$K$4:$O$4,0))</f>
        <v>3.7692944603357072E-4</v>
      </c>
      <c r="DM49" s="267">
        <f>INDEX($BC$43:$BP$56,MATCH($CW49,$L$43:$L$56,0),MATCH(DM$44,$BC$44:$BP$44,0))/INDEX(고양시_재차인원!$K$4:$O$20,MATCH("경기도",고양시_재차인원!$K$4:$K$20,0),MATCH('A.일산테크노밸리(859991)_수정'!DM$44,고양시_재차인원!$K$4:$O$4,0))</f>
        <v>1.5531764691135482E-3</v>
      </c>
      <c r="DN49" s="268">
        <f>INDEX($BQ$43:$CD$56,MATCH($CW49,$L$43:$L$56,0),MATCH(DN$44,$BQ$44:$CD$44,0))/INDEX(고양시_재차인원!$D$4:$H$35,MATCH("고양시",고양시_재차인원!$B$4:$B$35,0),MATCH('A.일산테크노밸리(859991)_수정'!$DN$43,고양시_재차인원!$D$4:$H$4,0))</f>
        <v>0.42241988263986613</v>
      </c>
      <c r="DO49" s="267">
        <f>INDEX($BQ$43:$CD$56,MATCH($CW49,$L$43:$L$56,0),MATCH(DO$44,$BQ$44:$CD$44,0))/INDEX(고양시_재차인원!$K$4:$O$20,MATCH("경기도",고양시_재차인원!$K$4:$K$20,0),MATCH('A.일산테크노밸리(859991)_수정'!DO$44,고양시_재차인원!$K$4:$O$4,0))</f>
        <v>1.6864220930588752E-3</v>
      </c>
      <c r="DP49" s="267">
        <f>INDEX($BQ$43:$CD$56,MATCH($CW49,$L$43:$L$56,0),MATCH(DP$44,$BQ$44:$CD$44,0))/INDEX(고양시_재차인원!$K$4:$O$20,MATCH("경기도",고양시_재차인원!$K$4:$K$20,0),MATCH('A.일산테크노밸리(859991)_수정'!DP$44,고양시_재차인원!$K$4:$O$4,0))</f>
        <v>5.6324687795007529E-3</v>
      </c>
      <c r="DQ49" s="267">
        <f>INDEX($BQ$43:$CD$56,MATCH($CW49,$L$43:$L$56,0),MATCH(DQ$44,$BQ$44:$CD$44,0))/INDEX(고양시_재차인원!$K$4:$O$20,MATCH("경기도",고양시_재차인원!$K$4:$K$20,0),MATCH('A.일산테크노밸리(859991)_수정'!DQ$44,고양시_재차인원!$K$4:$O$4,0))</f>
        <v>4.0532456101867041E-4</v>
      </c>
      <c r="DR49" s="269">
        <f t="shared" si="26"/>
        <v>782.08080155130256</v>
      </c>
      <c r="DS49" s="270">
        <f t="shared" si="20"/>
        <v>6.1393891950350613E-3</v>
      </c>
      <c r="DT49" s="270">
        <f t="shared" si="21"/>
        <v>3.5140378927204132</v>
      </c>
      <c r="DU49" s="270">
        <f t="shared" si="22"/>
        <v>87.073356641011543</v>
      </c>
      <c r="DW49" s="278"/>
      <c r="DX49" s="278" t="s">
        <v>592</v>
      </c>
      <c r="DY49" s="281">
        <f t="shared" si="27"/>
        <v>869.15415819231407</v>
      </c>
      <c r="DZ49" s="281">
        <f t="shared" si="28"/>
        <v>3.5201772819154482</v>
      </c>
      <c r="EC49" s="412" t="s">
        <v>14</v>
      </c>
      <c r="ED49" s="412" t="s">
        <v>79</v>
      </c>
      <c r="EE49" s="412">
        <v>7192.9411</v>
      </c>
      <c r="EF49" s="412">
        <v>0.56870722672698226</v>
      </c>
      <c r="EG49" s="413">
        <v>859005</v>
      </c>
      <c r="EH49" s="414">
        <f t="shared" si="29"/>
        <v>157.01420386962553</v>
      </c>
      <c r="EI49" s="415">
        <f t="shared" si="30"/>
        <v>0.63592612218464339</v>
      </c>
      <c r="EJ49" s="402">
        <v>0</v>
      </c>
      <c r="EM49" s="278" t="s">
        <v>14</v>
      </c>
      <c r="EN49" s="278" t="s">
        <v>79</v>
      </c>
      <c r="EO49" s="278">
        <v>7192.9411</v>
      </c>
      <c r="EP49" s="278">
        <v>0.56870722672698226</v>
      </c>
      <c r="EQ49" s="289">
        <v>859005</v>
      </c>
      <c r="ER49" s="290">
        <f t="shared" si="31"/>
        <v>157.01420386962553</v>
      </c>
      <c r="ES49" s="291">
        <f t="shared" si="23"/>
        <v>0.63592612218464339</v>
      </c>
      <c r="ET49" s="402">
        <v>0</v>
      </c>
      <c r="EV49" s="34"/>
      <c r="EW49" s="34"/>
      <c r="EX49" s="34"/>
      <c r="EY49" s="34"/>
      <c r="EZ49" s="378"/>
      <c r="FA49" s="401"/>
      <c r="FB49" s="402"/>
      <c r="FC49" s="402"/>
    </row>
    <row r="50" spans="1:159" ht="27" customHeight="1">
      <c r="A50" s="205"/>
      <c r="B50" s="205" t="s">
        <v>17</v>
      </c>
      <c r="C50" s="400">
        <f>'A.일산테크노밸리(859991)_수정'!$P33*KTDB_TripDistribution_2040!L$12 * (1 + KTDB_발생량도착량_증가율!$D$7*5) * (1 + KTDB_발생량도착량_증가율!$E$7*5) * (1 + KTDB_발생량도착량_증가율!$F$7*5)</f>
        <v>279.9719798683372</v>
      </c>
      <c r="D50" s="400">
        <f>'A.일산테크노밸리(859991)_수정'!$P33*KTDB_TripDistribution_2040!M$12 * (1 + KTDB_발생량도착량_증가율!$D$7*5) * (1 + KTDB_발생량도착량_증가율!$E$7*5) * (1 + KTDB_발생량도착량_증가율!$F$7*5)</f>
        <v>2177.0994508689869</v>
      </c>
      <c r="E50" s="400">
        <f>'A.일산테크노밸리(859991)_수정'!$P33*KTDB_TripDistribution_2040!N$12 * (1 + KTDB_발생량도착량_증가율!$D$7*5) * (1 + KTDB_발생량도착량_증가율!$E$7*5) * (1 + KTDB_발생량도착량_증가율!$F$7*5)</f>
        <v>96.500701894172749</v>
      </c>
      <c r="F50" s="400">
        <f>'A.일산테크노밸리(859991)_수정'!$P33*KTDB_TripDistribution_2040!O$12 * (1 + KTDB_발생량도착량_증가율!$D$7*5) * (1 + KTDB_발생량도착량_증가율!$E$7*5) * (1 + KTDB_발생량도착량_증가율!$F$7*5)</f>
        <v>0.26169681869606043</v>
      </c>
      <c r="G50" s="400">
        <f>'A.일산테크노밸리(859991)_수정'!$P33*KTDB_TripDistribution_2040!P$12 * (1 + KTDB_발생량도착량_증가율!$D$7*5) * (1 + KTDB_발생량도착량_증가율!$E$7*5) * (1 + KTDB_발생량도착량_증가율!$F$7*5)</f>
        <v>0.74147431963884369</v>
      </c>
      <c r="H50" s="400">
        <f>'A.일산테크노밸리(859991)_수정'!$P33*KTDB_TripDistribution_2040!Q$12 * (1 + KTDB_발생량도착량_증가율!$D$7*5) * (1 + KTDB_발생량도착량_증가율!$E$7*5) * (1 + KTDB_발생량도착량_증가율!$F$7*5)</f>
        <v>2554.5753037698314</v>
      </c>
      <c r="J50" s="230">
        <f t="shared" si="6"/>
        <v>2554.5753037698319</v>
      </c>
      <c r="K50" s="206"/>
      <c r="L50" s="209" t="s">
        <v>17</v>
      </c>
      <c r="M50" s="213">
        <f>INDEX($A$44:$H$56,MATCH($L50,$B$44:$B$56,0),MATCH($M$43,$A$44:$H$44,0))*고양시_Modal_split!C$3 * 0.01</f>
        <v>0.78392154363134414</v>
      </c>
      <c r="N50" s="207">
        <f>INDEX($A$44:$H$56,MATCH($L50,$B$44:$B$56,0),MATCH($M$43,$A$44:$H$44,0))*고양시_Modal_split!D$3 * 0.01</f>
        <v>131.670822132079</v>
      </c>
      <c r="O50" s="207">
        <f>INDEX($A$44:$H$56,MATCH($L50,$B$44:$B$56,0),MATCH($M$43,$A$44:$H$44,0))*고양시_Modal_split!E$3 * 0.01</f>
        <v>15.930405654508386</v>
      </c>
      <c r="P50" s="207">
        <f>INDEX($A$44:$H$56,MATCH($L50,$B$44:$B$56,0),MATCH($M$43,$A$44:$H$44,0))*고양시_Modal_split!F$3 * 0.01</f>
        <v>25.673430553926522</v>
      </c>
      <c r="Q50" s="207">
        <f>INDEX($A$44:$H$56,MATCH($L50,$B$44:$B$56,0),MATCH($M$43,$A$44:$H$44,0))*고양시_Modal_split!G$3 * 0.01</f>
        <v>2.5757422147887019</v>
      </c>
      <c r="R50" s="207">
        <f>INDEX($A$44:$H$56,MATCH($L50,$B$44:$B$56,0),MATCH($M$43,$A$44:$H$44,0))*고양시_Modal_split!H$3 * 0.01</f>
        <v>2.799719798683372E-2</v>
      </c>
      <c r="S50" s="207">
        <f>INDEX($A$44:$H$56,MATCH($L50,$B$44:$B$56,0),MATCH($M$43,$A$44:$H$44,0))*고양시_Modal_split!I$3 * 0.01</f>
        <v>7.7832210403397735</v>
      </c>
      <c r="T50" s="207">
        <f>INDEX($A$44:$H$56,MATCH($L50,$B$44:$B$56,0),MATCH($M$43,$A$44:$H$44,0))*고양시_Modal_split!J$3 * 0.01</f>
        <v>85.223470671921845</v>
      </c>
      <c r="U50" s="207">
        <f>INDEX($A$44:$H$56,MATCH($L50,$B$44:$B$56,0),MATCH($M$43,$A$44:$H$44,0))*고양시_Modal_split!K$3 * 0.01</f>
        <v>0.41995796980250583</v>
      </c>
      <c r="V50" s="207">
        <f>INDEX($A$44:$H$56,MATCH($L50,$B$44:$B$56,0),MATCH($M$43,$A$44:$H$44,0))*고양시_Modal_split!L$3 * 0.01</f>
        <v>8.4551537920237827</v>
      </c>
      <c r="W50" s="207">
        <f>INDEX($A$44:$H$56,MATCH($L50,$B$44:$B$56,0),MATCH($M$43,$A$44:$H$44,0))*고양시_Modal_split!M$3 * 0.01</f>
        <v>0.64393555369717548</v>
      </c>
      <c r="X50" s="207">
        <f>INDEX($A$44:$H$56,MATCH($L50,$B$44:$B$56,0),MATCH($M$43,$A$44:$H$44,0))*고양시_Modal_split!N$3 * 0.01</f>
        <v>0.27997197986833722</v>
      </c>
      <c r="Y50" s="207">
        <f>INDEX($A$44:$H$56,MATCH($L50,$B$44:$B$56,0),MATCH($M$43,$A$44:$H$44,0))*고양시_Modal_split!O$3 * 0.01</f>
        <v>0.50394956376300692</v>
      </c>
      <c r="Z50" s="214">
        <f>INDEX($A$44:$H$56,MATCH($L50,$B$44:$B$56,0),MATCH($M$43,$A$44:$H$44,0))*고양시_Modal_split!P$3 * 0.01</f>
        <v>279.9719798683372</v>
      </c>
      <c r="AA50" s="213">
        <f>INDEX($A$44:$H$56,MATCH($L50,$B$44:$B$56,0),MATCH($AA$43,$A$44:$H$44,0))*고양시_Modal_split!C$4 * 0.01</f>
        <v>662.70907284451971</v>
      </c>
      <c r="AB50" s="207">
        <f>INDEX($A$44:$H$56,MATCH($L50,$B$44:$B$56,0),MATCH($AA$43,$A$44:$H$44,0))*고양시_Modal_split!D$4 * 0.01</f>
        <v>698.19579389368414</v>
      </c>
      <c r="AC50" s="207">
        <f>INDEX($A$44:$H$56,MATCH($L50,$B$44:$B$56,0),MATCH($AA$43,$A$44:$H$44,0))*고양시_Modal_split!E$4 * 0.01</f>
        <v>169.16062733252031</v>
      </c>
      <c r="AD50" s="207">
        <f>INDEX($A$44:$H$56,MATCH($L50,$B$44:$B$56,0),MATCH($AA$43,$A$44:$H$44,0))*고양시_Modal_split!F$4 * 0.01</f>
        <v>20.682444783255374</v>
      </c>
      <c r="AE50" s="207">
        <f>INDEX($A$44:$H$56,MATCH($L50,$B$44:$B$56,0),MATCH($AA$43,$A$44:$H$44,0))*고양시_Modal_split!G$4 * 0.01</f>
        <v>254.93834569675835</v>
      </c>
      <c r="AF50" s="207">
        <f>INDEX($A$44:$H$56,MATCH($L50,$B$44:$B$56,0),MATCH($AA$43,$A$44:$H$44,0))*고양시_Modal_split!H$4 * 0.01</f>
        <v>0</v>
      </c>
      <c r="AG50" s="207">
        <f>INDEX($A$44:$H$56,MATCH($L50,$B$44:$B$56,0),MATCH($AA$43,$A$44:$H$44,0))*고양시_Modal_split!I$4 * 0.01</f>
        <v>75.763060890240737</v>
      </c>
      <c r="AH50" s="207">
        <f>INDEX($A$44:$H$56,MATCH($L50,$B$44:$B$56,0),MATCH($AA$43,$A$44:$H$44,0))*고양시_Modal_split!J$4 * 0.01</f>
        <v>102.54138413592928</v>
      </c>
      <c r="AI50" s="207">
        <f>INDEX($A$44:$H$56,MATCH($L50,$B$44:$B$56,0),MATCH($AA$43,$A$44:$H$44,0))*고양시_Modal_split!K$4 * 0.01</f>
        <v>0</v>
      </c>
      <c r="AJ50" s="207">
        <f>INDEX($A$44:$H$56,MATCH($L50,$B$44:$B$56,0),MATCH($AA$43,$A$44:$H$44,0))*고양시_Modal_split!L$4 * 0.01</f>
        <v>100.58199463014721</v>
      </c>
      <c r="AK50" s="207">
        <f>INDEX($A$44:$H$56,MATCH($L50,$B$44:$B$56,0),MATCH($AA$43,$A$44:$H$44,0))*고양시_Modal_split!M$4 * 0.01</f>
        <v>14.586566320822213</v>
      </c>
      <c r="AL50" s="207">
        <f>INDEX($A$44:$H$56,MATCH($L50,$B$44:$B$56,0),MATCH($AA$43,$A$44:$H$44,0))*고양시_Modal_split!N$4 * 0.01</f>
        <v>54.427486271724675</v>
      </c>
      <c r="AM50" s="207">
        <f>INDEX($A$44:$H$56,MATCH($L50,$B$44:$B$56,0),MATCH($AA$43,$A$44:$H$44,0))*고양시_Modal_split!O$4 * 0.01</f>
        <v>23.512674069385064</v>
      </c>
      <c r="AN50" s="214">
        <f>INDEX($A$44:$H$56,MATCH($L50,$B$44:$B$56,0),MATCH($AA$43,$A$44:$H$44,0))*고양시_Modal_split!P$4 * 0.01</f>
        <v>2177.0994508689869</v>
      </c>
      <c r="AO50" s="213">
        <f>INDEX($A$44:$H$56,MATCH($L50,$B$44:$B$56,0),MATCH($AO$43,$A$44:$H$44,0))*고양시_Modal_split!C$5 * 0.01</f>
        <v>5.7900421136503642E-2</v>
      </c>
      <c r="AP50" s="207">
        <f>INDEX($A$44:$H$56,MATCH($L50,$B$44:$B$56,0),MATCH($AO$43,$A$44:$H$44,0))*고양시_Modal_split!D$5 * 0.01</f>
        <v>70.715714348049801</v>
      </c>
      <c r="AQ50" s="207">
        <f>INDEX($A$44:$H$56,MATCH($L50,$B$44:$B$56,0),MATCH($AO$43,$A$44:$H$44,0))*고양시_Modal_split!E$5 * 0.01</f>
        <v>9.5053191365760163</v>
      </c>
      <c r="AR50" s="207">
        <f>INDEX($A$44:$H$56,MATCH($L50,$B$44:$B$56,0),MATCH($AO$43,$A$44:$H$44,0))*고양시_Modal_split!F$5 * 0.01</f>
        <v>2.0265147397776277</v>
      </c>
      <c r="AS50" s="207">
        <f>INDEX($A$44:$H$56,MATCH($L50,$B$44:$B$56,0),MATCH($AO$43,$A$44:$H$44,0))*고양시_Modal_split!G$5 * 0.01</f>
        <v>0.62725456231212295</v>
      </c>
      <c r="AT50" s="207">
        <f>INDEX($A$44:$H$56,MATCH($L50,$B$44:$B$56,0),MATCH($AO$43,$A$44:$H$44,0))*고양시_Modal_split!H$5 * 0.01</f>
        <v>6.7550491325920919E-2</v>
      </c>
      <c r="AU50" s="207">
        <f>INDEX($A$44:$H$56,MATCH($L50,$B$44:$B$56,0),MATCH($AO$43,$A$44:$H$44,0))*고양시_Modal_split!I$5 * 0.01</f>
        <v>2.6730694424685852</v>
      </c>
      <c r="AV50" s="207">
        <f>INDEX($A$44:$H$56,MATCH($L50,$B$44:$B$56,0),MATCH($AO$43,$A$44:$H$44,0))*고양시_Modal_split!J$5 * 0.01</f>
        <v>6.0505940087646319</v>
      </c>
      <c r="AW50" s="207">
        <f>INDEX($A$44:$H$56,MATCH($L50,$B$44:$B$56,0),MATCH($AO$43,$A$44:$H$44,0))*고양시_Modal_split!K$5 * 0.01</f>
        <v>1.9300140378834551E-2</v>
      </c>
      <c r="AX50" s="207">
        <f>INDEX($A$44:$H$56,MATCH($L50,$B$44:$B$56,0),MATCH($AO$43,$A$44:$H$44,0))*고양시_Modal_split!L$5 * 0.01</f>
        <v>2.460767898301405</v>
      </c>
      <c r="AY50" s="207">
        <f>INDEX($A$44:$H$56,MATCH($L50,$B$44:$B$56,0),MATCH($AO$43,$A$44:$H$44,0))*고양시_Modal_split!M$5 * 0.01</f>
        <v>0.64655470269095749</v>
      </c>
      <c r="AZ50" s="207">
        <f>INDEX($A$44:$H$56,MATCH($L50,$B$44:$B$56,0),MATCH($AO$43,$A$44:$H$44,0))*고양시_Modal_split!N$5 * 0.01</f>
        <v>0.16405119322009365</v>
      </c>
      <c r="BA50" s="207">
        <f>INDEX($A$44:$H$56,MATCH($L50,$B$44:$B$56,0),MATCH($AO$43,$A$44:$H$44,0))*고양시_Modal_split!O$5 * 0.01</f>
        <v>1.4861108091702604</v>
      </c>
      <c r="BB50" s="214">
        <f>INDEX($A$44:$H$56,MATCH($L50,$B$44:$B$56,0),MATCH($AO$43,$A$44:$H$44,0))*고양시_Modal_split!P$5 * 0.01</f>
        <v>96.500701894172749</v>
      </c>
      <c r="BC50" s="213">
        <f>INDEX($A$44:$H$56,MATCH($L50,$B$44:$B$56,0),MATCH($BC$43,$A$44:$H$44,0))*고양시_Modal_split!C$6 * 0.01</f>
        <v>0</v>
      </c>
      <c r="BD50" s="207">
        <f>INDEX($A$44:$H$56,MATCH($L50,$B$44:$B$56,0),MATCH($BC$43,$A$44:$H$44,0))*고양시_Modal_split!D$6 * 0.01</f>
        <v>0.21671113556220761</v>
      </c>
      <c r="BE50" s="207">
        <f>INDEX($A$44:$H$56,MATCH($L50,$B$44:$B$56,0),MATCH($BC$43,$A$44:$H$44,0))*고양시_Modal_split!E$6 * 0.01</f>
        <v>1.1252963203930598E-3</v>
      </c>
      <c r="BF50" s="207">
        <f>INDEX($A$44:$H$56,MATCH($L50,$B$44:$B$56,0),MATCH($BC$43,$A$44:$H$44,0))*고양시_Modal_split!F$6 * 0.01</f>
        <v>3.192701188091937E-3</v>
      </c>
      <c r="BG50" s="207">
        <f>INDEX($A$44:$H$56,MATCH($L50,$B$44:$B$56,0),MATCH($BC$43,$A$44:$H$44,0))*고양시_Modal_split!G$6 * 0.01</f>
        <v>0</v>
      </c>
      <c r="BH50" s="207">
        <f>INDEX($A$44:$H$56,MATCH($L50,$B$44:$B$56,0),MATCH($BC$43,$A$44:$H$44,0))*고양시_Modal_split!H$6 * 0.01</f>
        <v>1.3896101072760809E-2</v>
      </c>
      <c r="BI50" s="207">
        <f>INDEX($A$44:$H$56,MATCH($L50,$B$44:$B$56,0),MATCH($BC$43,$A$44:$H$44,0))*고양시_Modal_split!I$6 * 0.01</f>
        <v>9.2640673818405392E-3</v>
      </c>
      <c r="BJ50" s="207">
        <f>INDEX($A$44:$H$56,MATCH($L50,$B$44:$B$56,0),MATCH($BC$43,$A$44:$H$44,0))*고양시_Modal_split!J$6 * 0.01</f>
        <v>1.2927822843585384E-2</v>
      </c>
      <c r="BK50" s="207">
        <f>INDEX($A$44:$H$56,MATCH($L50,$B$44:$B$56,0),MATCH($BC$43,$A$44:$H$44,0))*고양시_Modal_split!K$6 * 0.01</f>
        <v>0</v>
      </c>
      <c r="BL50" s="207">
        <f>INDEX($A$44:$H$56,MATCH($L50,$B$44:$B$56,0),MATCH($BC$43,$A$44:$H$44,0))*고양시_Modal_split!L$6 * 0.01</f>
        <v>1.9888958220900593E-3</v>
      </c>
      <c r="BM50" s="207">
        <f>INDEX($A$44:$H$56,MATCH($L50,$B$44:$B$56,0),MATCH($BC$43,$A$44:$H$44,0))*고양시_Modal_split!M$6 * 0.01</f>
        <v>2.3814410501341501E-3</v>
      </c>
      <c r="BN50" s="207">
        <f>INDEX($A$44:$H$56,MATCH($L50,$B$44:$B$56,0),MATCH($BC$43,$A$44:$H$44,0))*고양시_Modal_split!N$6 * 0.01</f>
        <v>0</v>
      </c>
      <c r="BO50" s="207">
        <f>INDEX($A$44:$H$56,MATCH($L50,$B$44:$B$56,0),MATCH($BC$43,$A$44:$H$44,0))*고양시_Modal_split!O$6 * 0.01</f>
        <v>2.0935745495684837E-4</v>
      </c>
      <c r="BP50" s="214">
        <f>INDEX($A$44:$H$56,MATCH($L50,$B$44:$B$56,0),MATCH($BC$43,$A$44:$H$44,0))*고양시_Modal_split!P$6 * 0.01</f>
        <v>0.26169681869606043</v>
      </c>
      <c r="BQ50" s="213">
        <f>INDEX($A$44:$H$56,MATCH($L50,$B$44:$B$56,0),MATCH($BQ$43,$A$44:$H$44,0))*고양시_Modal_split!C$7 * 0.01</f>
        <v>0</v>
      </c>
      <c r="BR50" s="207">
        <f>INDEX($A$44:$H$56,MATCH($L50,$B$44:$B$56,0),MATCH($BQ$43,$A$44:$H$44,0))*고양시_Modal_split!D$7 * 0.01</f>
        <v>0.45437546307468346</v>
      </c>
      <c r="BS50" s="207">
        <f>INDEX($A$44:$H$56,MATCH($L50,$B$44:$B$56,0),MATCH($BQ$43,$A$44:$H$44,0))*고양시_Modal_split!E$7 * 0.01</f>
        <v>2.2170082157201426E-2</v>
      </c>
      <c r="BT50" s="207">
        <f>INDEX($A$44:$H$56,MATCH($L50,$B$44:$B$56,0),MATCH($BQ$43,$A$44:$H$44,0))*고양시_Modal_split!F$7 * 0.01</f>
        <v>7.4147431963884373E-3</v>
      </c>
      <c r="BU50" s="207">
        <f>INDEX($A$44:$H$56,MATCH($L50,$B$44:$B$56,0),MATCH($BQ$43,$A$44:$H$44,0))*고양시_Modal_split!G$7 * 0.01</f>
        <v>3.1141921424831433E-3</v>
      </c>
      <c r="BV50" s="207">
        <f>INDEX($A$44:$H$56,MATCH($L50,$B$44:$B$56,0),MATCH($BQ$43,$A$44:$H$44,0))*고양시_Modal_split!H$7 * 0.01</f>
        <v>4.1448414467811362E-2</v>
      </c>
      <c r="BW50" s="207">
        <f>INDEX($A$44:$H$56,MATCH($L50,$B$44:$B$56,0),MATCH($BQ$43,$A$44:$H$44,0))*고양시_Modal_split!I$7 * 0.01</f>
        <v>0.13843325547657212</v>
      </c>
      <c r="BX50" s="207">
        <f>INDEX($A$44:$H$56,MATCH($L50,$B$44:$B$56,0),MATCH($BQ$43,$A$44:$H$44,0))*고양시_Modal_split!J$7 * 0.01</f>
        <v>1.4829486392776875E-4</v>
      </c>
      <c r="BY50" s="207">
        <f>INDEX($A$44:$H$56,MATCH($L50,$B$44:$B$56,0),MATCH($BQ$43,$A$44:$H$44,0))*고양시_Modal_split!K$7 * 0.01</f>
        <v>5.7093522612190972E-2</v>
      </c>
      <c r="BZ50" s="207">
        <f>INDEX($A$44:$H$56,MATCH($L50,$B$44:$B$56,0),MATCH($BQ$43,$A$44:$H$44,0))*고양시_Modal_split!L$7 * 0.01</f>
        <v>5.1903202374719052E-4</v>
      </c>
      <c r="CA50" s="207">
        <f>INDEX($A$44:$H$56,MATCH($L50,$B$44:$B$56,0),MATCH($BQ$43,$A$44:$H$44,0))*고양시_Modal_split!M$7 * 0.01</f>
        <v>1.3865569777246378E-2</v>
      </c>
      <c r="CB50" s="207">
        <f>INDEX($A$44:$H$56,MATCH($L50,$B$44:$B$56,0),MATCH($BQ$43,$A$44:$H$44,0))*고양시_Modal_split!N$7 * 0.01</f>
        <v>2.8917498465914899E-3</v>
      </c>
      <c r="CC50" s="207">
        <f>INDEX($A$44:$H$56,MATCH($L50,$B$44:$B$56,0),MATCH($BQ$43,$A$44:$H$44,0))*고양시_Modal_split!O$7 * 0.01</f>
        <v>0</v>
      </c>
      <c r="CD50" s="214">
        <f>INDEX($A$44:$H$56,MATCH($L50,$B$44:$B$56,0),MATCH($BQ$43,$A$44:$H$44,0))*고양시_Modal_split!P$7 * 0.01</f>
        <v>0.74147431963884369</v>
      </c>
      <c r="CE50" s="218">
        <f t="shared" si="24"/>
        <v>663.55089480928757</v>
      </c>
      <c r="CF50" s="208">
        <f t="shared" si="7"/>
        <v>901.25341697244994</v>
      </c>
      <c r="CG50" s="208">
        <f t="shared" si="8"/>
        <v>194.6196475020823</v>
      </c>
      <c r="CH50" s="208">
        <f t="shared" si="9"/>
        <v>48.392997521344</v>
      </c>
      <c r="CI50" s="208">
        <f t="shared" si="10"/>
        <v>258.1444566660017</v>
      </c>
      <c r="CJ50" s="208">
        <f t="shared" si="11"/>
        <v>0.15089220485332683</v>
      </c>
      <c r="CK50" s="208">
        <f t="shared" si="12"/>
        <v>86.367048695907499</v>
      </c>
      <c r="CL50" s="208">
        <f t="shared" si="13"/>
        <v>193.82852493432324</v>
      </c>
      <c r="CM50" s="208">
        <f t="shared" si="14"/>
        <v>0.49635163279353134</v>
      </c>
      <c r="CN50" s="208">
        <f t="shared" si="15"/>
        <v>111.50042424831823</v>
      </c>
      <c r="CO50" s="208">
        <f t="shared" si="16"/>
        <v>15.893303588037728</v>
      </c>
      <c r="CP50" s="208">
        <f t="shared" si="17"/>
        <v>54.874401194659697</v>
      </c>
      <c r="CQ50" s="208">
        <f t="shared" si="18"/>
        <v>25.502943799773288</v>
      </c>
      <c r="CR50" s="219">
        <f t="shared" si="19"/>
        <v>2554.5753037698319</v>
      </c>
      <c r="CS50" s="225">
        <f t="shared" si="25"/>
        <v>0</v>
      </c>
      <c r="CV50" s="265"/>
      <c r="CW50" s="266" t="s">
        <v>17</v>
      </c>
      <c r="CX50" s="267">
        <f>INDEX($M$43:$Z$56,MATCH($CW50,$L$43:$L$56,0),MATCH(CX$44,$M$44:$Z$44,0))/INDEX(고양시_재차인원!$D$4:$H$35,MATCH("고양시",고양시_재차인원!$B$4:$B$35,0),MATCH('A.일산테크노밸리(859991)_수정'!$CX$43,고양시_재차인원!$D$4:$H$4,0))</f>
        <v>117.56323404649909</v>
      </c>
      <c r="CY50" s="267">
        <f>INDEX($M$43:$Z$56,MATCH($CW50,$L$43:$L$56,0),MATCH(CY$44,$M$44:$Z$44,0))/INDEX(고양시_재차인원!$K$4:$O$20,MATCH("경기도",고양시_재차인원!$K$4:$K$20,0),MATCH('A.일산테크노밸리(859991)_수정'!CY$44,고양시_재차인원!$K$4:$O$4,0))</f>
        <v>9.7246259072017091E-4</v>
      </c>
      <c r="CZ50" s="267">
        <f>INDEX($M$43:$Z$56,MATCH($CW50,$L$43:$L$56,0),MATCH(CZ$44,$M$44:$Z$44,0))/INDEX(고양시_재차인원!$K$4:$O$20,MATCH("경기도",고양시_재차인원!$K$4:$K$20,0),MATCH('A.일산테크노밸리(859991)_수정'!CZ$44,고양시_재차인원!$K$4:$O$4,0))</f>
        <v>0.27034460022020751</v>
      </c>
      <c r="DA50" s="267">
        <f>INDEX($M$43:$Z$56,MATCH($CW50,$L$43:$L$56,0),MATCH(DA$44,$M$44:$Z$44,0))/INDEX(고양시_재차인원!$K$4:$O$20,MATCH("경기도",고양시_재차인원!$K$4:$K$20,0),MATCH('A.일산테크노밸리(859991)_수정'!DA$44,고양시_재차인원!$K$4:$O$4,0))</f>
        <v>5.6367691946825218</v>
      </c>
      <c r="DB50" s="268">
        <f>INDEX($AA$43:$AN$56,MATCH($CW50,$L$43:$L$56,0),MATCH(DB$44,$AA$44:$AN$44,0))/INDEX(고양시_재차인원!$D$4:$H$35,MATCH("고양시",고양시_재차인원!$B$4:$B$35,0),MATCH('A.일산테크노밸리(859991)_수정'!$DB$43,고양시_재차인원!$D$4:$H$4,0))</f>
        <v>495.17432191041433</v>
      </c>
      <c r="DC50" s="267">
        <f>INDEX($AA$43:$AN$56,MATCH($CW50,$L$43:$L$56,0),MATCH(DC$44,$AA$44:$AN$44,0))/INDEX(고양시_재차인원!$K$4:$O$20,MATCH("경기도",고양시_재차인원!$K$4:$K$20,0),MATCH('A.일산테크노밸리(859991)_수정'!DC$44,고양시_재차인원!$K$4:$O$4,0))</f>
        <v>0</v>
      </c>
      <c r="DD50" s="267">
        <f>INDEX($AA$43:$AN$56,MATCH($CW50,$L$43:$L$56,0),MATCH(DD$44,$AA$44:$AN$44,0))/INDEX(고양시_재차인원!$K$4:$O$20,MATCH("경기도",고양시_재차인원!$K$4:$K$20,0),MATCH('A.일산테크노밸리(859991)_수정'!DD$44,고양시_재차인원!$K$4:$O$4,0))</f>
        <v>2.6315755779868266</v>
      </c>
      <c r="DE50" s="267">
        <f>INDEX($AA$43:$AN$56,MATCH($CW50,$L$43:$L$56,0),MATCH(DE$44,$AA$44:$AN$44,0))/INDEX(고양시_재차인원!$K$4:$O$20,MATCH("경기도",고양시_재차인원!$K$4:$K$20,0),MATCH('A.일산테크노밸리(859991)_수정'!DE$44,고양시_재차인원!$K$4:$O$4,0))</f>
        <v>67.054663086764805</v>
      </c>
      <c r="DF50" s="268">
        <f>INDEX($AO$43:$BB$56,MATCH($CW50,$L$43:$L$56,0),MATCH(DF$44,$AO$44:$BB$44,0))/INDEX(고양시_재차인원!$D$4:$H$35,MATCH("고양시",고양시_재차인원!$B$4:$B$35,0),MATCH('A.일산테크노밸리(859991)_수정'!$DF$43,고양시_재차인원!$D$4:$H$4,0))</f>
        <v>54.396703344653695</v>
      </c>
      <c r="DG50" s="267">
        <f>INDEX($AO$43:$BB$56,MATCH($CW50,$L$43:$L$56,0),MATCH(DG$44,$AO$44:$BB$44,0))/INDEX(고양시_재차인원!$K$4:$O$20,MATCH("경기도",고양시_재차인원!$K$4:$K$20,0),MATCH('A.일산테크노밸리(859991)_수정'!DG$44,고양시_재차인원!$K$4:$O$4,0))</f>
        <v>2.3463178647419561E-3</v>
      </c>
      <c r="DH50" s="267">
        <f>INDEX($AO$43:$BB$56,MATCH($CW50,$L$43:$L$56,0),MATCH(DH$44,$AO$44:$BB$44,0))/INDEX(고양시_재차인원!$K$4:$O$20,MATCH("경기도",고양시_재차인원!$K$4:$K$20,0),MATCH('A.일산테크노밸리(859991)_수정'!DH$44,고양시_재차인원!$K$4:$O$4,0))</f>
        <v>9.2847149790503139E-2</v>
      </c>
      <c r="DI50" s="267">
        <f>INDEX($AO$43:$BB$56,MATCH($CW50,$L$43:$L$56,0),MATCH(DI$44,$AO$44:$BB$44,0))/INDEX(고양시_재차인원!$K$4:$O$20,MATCH("경기도",고양시_재차인원!$K$4:$K$20,0),MATCH('A.일산테크노밸리(859991)_수정'!DI$44,고양시_재차인원!$K$4:$O$4,0))</f>
        <v>1.6405119322009367</v>
      </c>
      <c r="DJ50" s="268">
        <f>INDEX($BC$43:$BP$56,MATCH($CW50,$L$43:$L$56,0),MATCH(DJ$44,$BC$44:$BP$44,0))/INDEX(고양시_재차인원!$D$4:$H$35,MATCH("고양시",고양시_재차인원!$B$4:$B$35,0),MATCH('A.일산테크노밸리(859991)_수정'!$DJ$43,고양시_재차인원!$D$4:$H$4,0))</f>
        <v>0.15934642320750558</v>
      </c>
      <c r="DK50" s="267">
        <f>INDEX($BC$43:$BP$56,MATCH($CW50,$L$43:$L$56,0),MATCH(DK$44,$BC$44:$BP$44,0))/INDEX(고양시_재차인원!$K$4:$O$20,MATCH("경기도",고양시_재차인원!$K$4:$K$20,0),MATCH('A.일산테크노밸리(859991)_수정'!DK$44,고양시_재차인원!$K$4:$O$4,0))</f>
        <v>4.826711036040573E-4</v>
      </c>
      <c r="DL50" s="267">
        <f>INDEX($BC$43:$BP$56,MATCH($CW50,$L$43:$L$56,0),MATCH(DL$44,$BC$44:$BP$44,0))/INDEX(고양시_재차인원!$K$4:$O$20,MATCH("경기도",고양시_재차인원!$K$4:$K$20,0),MATCH('A.일산테크노밸리(859991)_수정'!DL$44,고양시_재차인원!$K$4:$O$4,0))</f>
        <v>3.217807357360382E-4</v>
      </c>
      <c r="DM50" s="267">
        <f>INDEX($BC$43:$BP$56,MATCH($CW50,$L$43:$L$56,0),MATCH(DM$44,$BC$44:$BP$44,0))/INDEX(고양시_재차인원!$K$4:$O$20,MATCH("경기도",고양시_재차인원!$K$4:$K$20,0),MATCH('A.일산테크노밸리(859991)_수정'!DM$44,고양시_재차인원!$K$4:$O$4,0))</f>
        <v>1.3259305480600395E-3</v>
      </c>
      <c r="DN50" s="268">
        <f>INDEX($BQ$43:$CD$56,MATCH($CW50,$L$43:$L$56,0),MATCH(DN$44,$BQ$44:$CD$44,0))/INDEX(고양시_재차인원!$D$4:$H$35,MATCH("고양시",고양시_재차인원!$B$4:$B$35,0),MATCH('A.일산테크노밸리(859991)_수정'!$DN$43,고양시_재차인원!$D$4:$H$4,0))</f>
        <v>0.3606154468846694</v>
      </c>
      <c r="DO50" s="267">
        <f>INDEX($BQ$43:$CD$56,MATCH($CW50,$L$43:$L$56,0),MATCH(DO$44,$BQ$44:$CD$44,0))/INDEX(고양시_재차인원!$K$4:$O$20,MATCH("경기도",고양시_재차인원!$K$4:$K$20,0),MATCH('A.일산테크노밸리(859991)_수정'!DO$44,고양시_재차인원!$K$4:$O$4,0))</f>
        <v>1.4396809471278694E-3</v>
      </c>
      <c r="DP50" s="267">
        <f>INDEX($BQ$43:$CD$56,MATCH($CW50,$L$43:$L$56,0),MATCH(DP$44,$BQ$44:$CD$44,0))/INDEX(고양시_재차인원!$K$4:$O$20,MATCH("경기도",고양시_재차인원!$K$4:$K$20,0),MATCH('A.일산테크노밸리(859991)_수정'!DP$44,고양시_재차인원!$K$4:$O$4,0))</f>
        <v>4.8083798359351204E-3</v>
      </c>
      <c r="DQ50" s="267">
        <f>INDEX($BQ$43:$CD$56,MATCH($CW50,$L$43:$L$56,0),MATCH(DQ$44,$BQ$44:$CD$44,0))/INDEX(고양시_재차인원!$K$4:$O$20,MATCH("경기도",고양시_재차인원!$K$4:$K$20,0),MATCH('A.일산테크노밸리(859991)_수정'!DQ$44,고양시_재차인원!$K$4:$O$4,0))</f>
        <v>3.4602134916479366E-4</v>
      </c>
      <c r="DR50" s="269">
        <f t="shared" si="26"/>
        <v>667.65422117165929</v>
      </c>
      <c r="DS50" s="270">
        <f t="shared" si="20"/>
        <v>5.2411325061940536E-3</v>
      </c>
      <c r="DT50" s="270">
        <f t="shared" si="21"/>
        <v>2.9998974885692085</v>
      </c>
      <c r="DU50" s="270">
        <f t="shared" si="22"/>
        <v>74.333616165545493</v>
      </c>
      <c r="DW50" s="278"/>
      <c r="DX50" s="278" t="s">
        <v>593</v>
      </c>
      <c r="DY50" s="281">
        <f t="shared" si="27"/>
        <v>741.98783733720484</v>
      </c>
      <c r="DZ50" s="281">
        <f t="shared" si="28"/>
        <v>3.0051386210754023</v>
      </c>
      <c r="EC50" s="412" t="s">
        <v>15</v>
      </c>
      <c r="ED50" s="412" t="s">
        <v>570</v>
      </c>
      <c r="EE50" s="412">
        <v>24085.599100000003</v>
      </c>
      <c r="EF50" s="412">
        <v>0.11186292027724311</v>
      </c>
      <c r="EG50" s="413">
        <v>859006</v>
      </c>
      <c r="EH50" s="414">
        <f t="shared" si="29"/>
        <v>871.45717018032974</v>
      </c>
      <c r="EI50" s="415">
        <f t="shared" si="30"/>
        <v>3.5295047532319908</v>
      </c>
      <c r="EJ50" s="402">
        <v>0</v>
      </c>
      <c r="EM50" s="278" t="s">
        <v>15</v>
      </c>
      <c r="EN50" s="278" t="s">
        <v>570</v>
      </c>
      <c r="EO50" s="278">
        <v>24085.599100000003</v>
      </c>
      <c r="EP50" s="278">
        <v>0.11186292027724311</v>
      </c>
      <c r="EQ50" s="289">
        <v>859006</v>
      </c>
      <c r="ER50" s="290">
        <f t="shared" si="31"/>
        <v>871.45717018032974</v>
      </c>
      <c r="ES50" s="291">
        <f t="shared" si="23"/>
        <v>3.5295047532319908</v>
      </c>
      <c r="ET50" s="402">
        <v>0</v>
      </c>
      <c r="EV50" s="34"/>
      <c r="EW50" s="34"/>
      <c r="EX50" s="34"/>
      <c r="EY50" s="34"/>
      <c r="EZ50" s="378"/>
      <c r="FA50" s="401"/>
      <c r="FB50" s="402"/>
      <c r="FC50" s="402"/>
    </row>
    <row r="51" spans="1:159" ht="27" customHeight="1">
      <c r="A51" s="205" t="s">
        <v>491</v>
      </c>
      <c r="B51" s="203" t="s">
        <v>484</v>
      </c>
      <c r="C51" s="400">
        <f>'A.일산테크노밸리(859991)_수정'!$P34*KTDB_TripDistribution_2040!L$12 * (1 + KTDB_발생량도착량_증가율!$D$7*5) * (1 + KTDB_발생량도착량_증가율!$E$7*5) * (1 + KTDB_발생량도착량_증가율!$F$7*5)</f>
        <v>83.031928455736377</v>
      </c>
      <c r="D51" s="400">
        <f>'A.일산테크노밸리(859991)_수정'!$P34*KTDB_TripDistribution_2040!M$12 * (1 + KTDB_발생량도착량_증가율!$D$7*5) * (1 + KTDB_발생량도착량_증가율!$E$7*5) * (1 + KTDB_발생량도착량_증가율!$F$7*5)</f>
        <v>645.66734832031045</v>
      </c>
      <c r="E51" s="400">
        <f>'A.일산테크노밸리(859991)_수정'!$P34*KTDB_TripDistribution_2040!N$12 * (1 + KTDB_발생량도착량_증가율!$D$7*5) * (1 + KTDB_발생량도착량_증가율!$E$7*5) * (1 + KTDB_발생량도착량_증가율!$F$7*5)</f>
        <v>28.619433199613084</v>
      </c>
      <c r="F51" s="400">
        <f>'A.일산테크노밸리(859991)_수정'!$P34*KTDB_TripDistribution_2040!O$12 * (1 + KTDB_발생량도착량_증가율!$D$7*5) * (1 + KTDB_발생량도착량_증가율!$E$7*5) * (1 + KTDB_발생량도착량_증가율!$F$7*5)</f>
        <v>7.7612022236238476E-2</v>
      </c>
      <c r="G51" s="400">
        <f>'A.일산테크노밸리(859991)_수정'!$P34*KTDB_TripDistribution_2040!P$12 * (1 + KTDB_발생량도착량_증가율!$D$7*5) * (1 + KTDB_발생량도착량_증가율!$E$7*5) * (1 + KTDB_발생량도착량_증가율!$F$7*5)</f>
        <v>0.21990072966934412</v>
      </c>
      <c r="H51" s="400">
        <f>'A.일산테크노밸리(859991)_수정'!$P34*KTDB_TripDistribution_2040!Q$12 * (1 + KTDB_발생량도착량_증가율!$D$7*5) * (1 + KTDB_발생량도착량_증가율!$E$7*5) * (1 + KTDB_발생량도착량_증가율!$F$7*5)</f>
        <v>757.61622272756551</v>
      </c>
      <c r="J51" s="230">
        <f t="shared" si="6"/>
        <v>757.61622272756563</v>
      </c>
      <c r="K51" s="206" t="s">
        <v>433</v>
      </c>
      <c r="L51" s="210" t="s">
        <v>485</v>
      </c>
      <c r="M51" s="213">
        <f>INDEX($A$44:$H$56,MATCH($L51,$B$44:$B$56,0),MATCH($M$43,$A$44:$H$44,0))*고양시_Modal_split!C$3 * 0.01</f>
        <v>0.23248939967606183</v>
      </c>
      <c r="N51" s="207">
        <f>INDEX($A$44:$H$56,MATCH($L51,$B$44:$B$56,0),MATCH($M$43,$A$44:$H$44,0))*고양시_Modal_split!D$3 * 0.01</f>
        <v>39.049915952732817</v>
      </c>
      <c r="O51" s="207">
        <f>INDEX($A$44:$H$56,MATCH($L51,$B$44:$B$56,0),MATCH($M$43,$A$44:$H$44,0))*고양시_Modal_split!E$3 * 0.01</f>
        <v>4.7245167291313992</v>
      </c>
      <c r="P51" s="207">
        <f>INDEX($A$44:$H$56,MATCH($L51,$B$44:$B$56,0),MATCH($M$43,$A$44:$H$44,0))*고양시_Modal_split!F$3 * 0.01</f>
        <v>7.6140278393910261</v>
      </c>
      <c r="Q51" s="207">
        <f>INDEX($A$44:$H$56,MATCH($L51,$B$44:$B$56,0),MATCH($M$43,$A$44:$H$44,0))*고양시_Modal_split!G$3 * 0.01</f>
        <v>0.76389374179277469</v>
      </c>
      <c r="R51" s="207">
        <f>INDEX($A$44:$H$56,MATCH($L51,$B$44:$B$56,0),MATCH($M$43,$A$44:$H$44,0))*고양시_Modal_split!H$3 * 0.01</f>
        <v>8.3031928455736381E-3</v>
      </c>
      <c r="S51" s="207">
        <f>INDEX($A$44:$H$56,MATCH($L51,$B$44:$B$56,0),MATCH($M$43,$A$44:$H$44,0))*고양시_Modal_split!I$3 * 0.01</f>
        <v>2.308287611069471</v>
      </c>
      <c r="T51" s="207">
        <f>INDEX($A$44:$H$56,MATCH($L51,$B$44:$B$56,0),MATCH($M$43,$A$44:$H$44,0))*고양시_Modal_split!J$3 * 0.01</f>
        <v>25.274919021926152</v>
      </c>
      <c r="U51" s="207">
        <f>INDEX($A$44:$H$56,MATCH($L51,$B$44:$B$56,0),MATCH($M$43,$A$44:$H$44,0))*고양시_Modal_split!K$3 * 0.01</f>
        <v>0.12454789268360456</v>
      </c>
      <c r="V51" s="207">
        <f>INDEX($A$44:$H$56,MATCH($L51,$B$44:$B$56,0),MATCH($M$43,$A$44:$H$44,0))*고양시_Modal_split!L$3 * 0.01</f>
        <v>2.5075642393632389</v>
      </c>
      <c r="W51" s="207">
        <f>INDEX($A$44:$H$56,MATCH($L51,$B$44:$B$56,0),MATCH($M$43,$A$44:$H$44,0))*고양시_Modal_split!M$3 * 0.01</f>
        <v>0.19097343544819367</v>
      </c>
      <c r="X51" s="207">
        <f>INDEX($A$44:$H$56,MATCH($L51,$B$44:$B$56,0),MATCH($M$43,$A$44:$H$44,0))*고양시_Modal_split!N$3 * 0.01</f>
        <v>8.3031928455736384E-2</v>
      </c>
      <c r="Y51" s="207">
        <f>INDEX($A$44:$H$56,MATCH($L51,$B$44:$B$56,0),MATCH($M$43,$A$44:$H$44,0))*고양시_Modal_split!O$3 * 0.01</f>
        <v>0.14945747122032546</v>
      </c>
      <c r="Z51" s="214">
        <f>INDEX($A$44:$H$56,MATCH($L51,$B$44:$B$56,0),MATCH($M$43,$A$44:$H$44,0))*고양시_Modal_split!P$3 * 0.01</f>
        <v>83.031928455736377</v>
      </c>
      <c r="AA51" s="213">
        <f>INDEX($A$44:$H$56,MATCH($L51,$B$44:$B$56,0),MATCH($AA$43,$A$44:$H$44,0))*고양시_Modal_split!C$4 * 0.01</f>
        <v>196.54114082870251</v>
      </c>
      <c r="AB51" s="207">
        <f>INDEX($A$44:$H$56,MATCH($L51,$B$44:$B$56,0),MATCH($AA$43,$A$44:$H$44,0))*고양시_Modal_split!D$4 * 0.01</f>
        <v>207.06551860632356</v>
      </c>
      <c r="AC51" s="207">
        <f>INDEX($A$44:$H$56,MATCH($L51,$B$44:$B$56,0),MATCH($AA$43,$A$44:$H$44,0))*고양시_Modal_split!E$4 * 0.01</f>
        <v>50.168352964488122</v>
      </c>
      <c r="AD51" s="207">
        <f>INDEX($A$44:$H$56,MATCH($L51,$B$44:$B$56,0),MATCH($AA$43,$A$44:$H$44,0))*고양시_Modal_split!F$4 * 0.01</f>
        <v>6.1338398090429482</v>
      </c>
      <c r="AE51" s="207">
        <f>INDEX($A$44:$H$56,MATCH($L51,$B$44:$B$56,0),MATCH($AA$43,$A$44:$H$44,0))*고양시_Modal_split!G$4 * 0.01</f>
        <v>75.607646488308347</v>
      </c>
      <c r="AF51" s="207">
        <f>INDEX($A$44:$H$56,MATCH($L51,$B$44:$B$56,0),MATCH($AA$43,$A$44:$H$44,0))*고양시_Modal_split!H$4 * 0.01</f>
        <v>0</v>
      </c>
      <c r="AG51" s="207">
        <f>INDEX($A$44:$H$56,MATCH($L51,$B$44:$B$56,0),MATCH($AA$43,$A$44:$H$44,0))*고양시_Modal_split!I$4 * 0.01</f>
        <v>22.4692237215468</v>
      </c>
      <c r="AH51" s="207">
        <f>INDEX($A$44:$H$56,MATCH($L51,$B$44:$B$56,0),MATCH($AA$43,$A$44:$H$44,0))*고양시_Modal_split!J$4 * 0.01</f>
        <v>30.410932105886623</v>
      </c>
      <c r="AI51" s="207">
        <f>INDEX($A$44:$H$56,MATCH($L51,$B$44:$B$56,0),MATCH($AA$43,$A$44:$H$44,0))*고양시_Modal_split!K$4 * 0.01</f>
        <v>0</v>
      </c>
      <c r="AJ51" s="207">
        <f>INDEX($A$44:$H$56,MATCH($L51,$B$44:$B$56,0),MATCH($AA$43,$A$44:$H$44,0))*고양시_Modal_split!L$4 * 0.01</f>
        <v>29.829831492398345</v>
      </c>
      <c r="AK51" s="207">
        <f>INDEX($A$44:$H$56,MATCH($L51,$B$44:$B$56,0),MATCH($AA$43,$A$44:$H$44,0))*고양시_Modal_split!M$4 * 0.01</f>
        <v>4.3259712337460803</v>
      </c>
      <c r="AL51" s="207">
        <f>INDEX($A$44:$H$56,MATCH($L51,$B$44:$B$56,0),MATCH($AA$43,$A$44:$H$44,0))*고양시_Modal_split!N$4 * 0.01</f>
        <v>16.141683708007761</v>
      </c>
      <c r="AM51" s="207">
        <f>INDEX($A$44:$H$56,MATCH($L51,$B$44:$B$56,0),MATCH($AA$43,$A$44:$H$44,0))*고양시_Modal_split!O$4 * 0.01</f>
        <v>6.9732073618593526</v>
      </c>
      <c r="AN51" s="214">
        <f>INDEX($A$44:$H$56,MATCH($L51,$B$44:$B$56,0),MATCH($AA$43,$A$44:$H$44,0))*고양시_Modal_split!P$4 * 0.01</f>
        <v>645.66734832031045</v>
      </c>
      <c r="AO51" s="213">
        <f>INDEX($A$44:$H$56,MATCH($L51,$B$44:$B$56,0),MATCH($AO$43,$A$44:$H$44,0))*고양시_Modal_split!C$5 * 0.01</f>
        <v>1.7171659919767851E-2</v>
      </c>
      <c r="AP51" s="207">
        <f>INDEX($A$44:$H$56,MATCH($L51,$B$44:$B$56,0),MATCH($AO$43,$A$44:$H$44,0))*고양시_Modal_split!D$5 * 0.01</f>
        <v>20.972320648676469</v>
      </c>
      <c r="AQ51" s="207">
        <f>INDEX($A$44:$H$56,MATCH($L51,$B$44:$B$56,0),MATCH($AO$43,$A$44:$H$44,0))*고양시_Modal_split!E$5 * 0.01</f>
        <v>2.8190141701618887</v>
      </c>
      <c r="AR51" s="207">
        <f>INDEX($A$44:$H$56,MATCH($L51,$B$44:$B$56,0),MATCH($AO$43,$A$44:$H$44,0))*고양시_Modal_split!F$5 * 0.01</f>
        <v>0.60100809719187487</v>
      </c>
      <c r="AS51" s="207">
        <f>INDEX($A$44:$H$56,MATCH($L51,$B$44:$B$56,0),MATCH($AO$43,$A$44:$H$44,0))*고양시_Modal_split!G$5 * 0.01</f>
        <v>0.18602631579748505</v>
      </c>
      <c r="AT51" s="207">
        <f>INDEX($A$44:$H$56,MATCH($L51,$B$44:$B$56,0),MATCH($AO$43,$A$44:$H$44,0))*고양시_Modal_split!H$5 * 0.01</f>
        <v>2.0033603239729161E-2</v>
      </c>
      <c r="AU51" s="207">
        <f>INDEX($A$44:$H$56,MATCH($L51,$B$44:$B$56,0),MATCH($AO$43,$A$44:$H$44,0))*고양시_Modal_split!I$5 * 0.01</f>
        <v>0.79275829962928246</v>
      </c>
      <c r="AV51" s="207">
        <f>INDEX($A$44:$H$56,MATCH($L51,$B$44:$B$56,0),MATCH($AO$43,$A$44:$H$44,0))*고양시_Modal_split!J$5 * 0.01</f>
        <v>1.7944384616157405</v>
      </c>
      <c r="AW51" s="207">
        <f>INDEX($A$44:$H$56,MATCH($L51,$B$44:$B$56,0),MATCH($AO$43,$A$44:$H$44,0))*고양시_Modal_split!K$5 * 0.01</f>
        <v>5.7238866399226176E-3</v>
      </c>
      <c r="AX51" s="207">
        <f>INDEX($A$44:$H$56,MATCH($L51,$B$44:$B$56,0),MATCH($AO$43,$A$44:$H$44,0))*고양시_Modal_split!L$5 * 0.01</f>
        <v>0.72979554659013357</v>
      </c>
      <c r="AY51" s="207">
        <f>INDEX($A$44:$H$56,MATCH($L51,$B$44:$B$56,0),MATCH($AO$43,$A$44:$H$44,0))*고양시_Modal_split!M$5 * 0.01</f>
        <v>0.19175020243740767</v>
      </c>
      <c r="AZ51" s="207">
        <f>INDEX($A$44:$H$56,MATCH($L51,$B$44:$B$56,0),MATCH($AO$43,$A$44:$H$44,0))*고양시_Modal_split!N$5 * 0.01</f>
        <v>4.865303643934224E-2</v>
      </c>
      <c r="BA51" s="207">
        <f>INDEX($A$44:$H$56,MATCH($L51,$B$44:$B$56,0),MATCH($AO$43,$A$44:$H$44,0))*고양시_Modal_split!O$5 * 0.01</f>
        <v>0.44073927127404156</v>
      </c>
      <c r="BB51" s="214">
        <f>INDEX($A$44:$H$56,MATCH($L51,$B$44:$B$56,0),MATCH($AO$43,$A$44:$H$44,0))*고양시_Modal_split!P$5 * 0.01</f>
        <v>28.619433199613081</v>
      </c>
      <c r="BC51" s="213">
        <f>INDEX($A$44:$H$56,MATCH($L51,$B$44:$B$56,0),MATCH($BC$43,$A$44:$H$44,0))*고양시_Modal_split!C$6 * 0.01</f>
        <v>0</v>
      </c>
      <c r="BD51" s="207">
        <f>INDEX($A$44:$H$56,MATCH($L51,$B$44:$B$56,0),MATCH($BC$43,$A$44:$H$44,0))*고양시_Modal_split!D$6 * 0.01</f>
        <v>6.4270515613829071E-2</v>
      </c>
      <c r="BE51" s="207">
        <f>INDEX($A$44:$H$56,MATCH($L51,$B$44:$B$56,0),MATCH($BC$43,$A$44:$H$44,0))*고양시_Modal_split!E$6 * 0.01</f>
        <v>3.3373169561582545E-4</v>
      </c>
      <c r="BF51" s="207">
        <f>INDEX($A$44:$H$56,MATCH($L51,$B$44:$B$56,0),MATCH($BC$43,$A$44:$H$44,0))*고양시_Modal_split!F$6 * 0.01</f>
        <v>9.4686667128210942E-4</v>
      </c>
      <c r="BG51" s="207">
        <f>INDEX($A$44:$H$56,MATCH($L51,$B$44:$B$56,0),MATCH($BC$43,$A$44:$H$44,0))*고양시_Modal_split!G$6 * 0.01</f>
        <v>0</v>
      </c>
      <c r="BH51" s="207">
        <f>INDEX($A$44:$H$56,MATCH($L51,$B$44:$B$56,0),MATCH($BC$43,$A$44:$H$44,0))*고양시_Modal_split!H$6 * 0.01</f>
        <v>4.1211983807442638E-3</v>
      </c>
      <c r="BI51" s="207">
        <f>INDEX($A$44:$H$56,MATCH($L51,$B$44:$B$56,0),MATCH($BC$43,$A$44:$H$44,0))*고양시_Modal_split!I$6 * 0.01</f>
        <v>2.7474655871628424E-3</v>
      </c>
      <c r="BJ51" s="207">
        <f>INDEX($A$44:$H$56,MATCH($L51,$B$44:$B$56,0),MATCH($BC$43,$A$44:$H$44,0))*고양시_Modal_split!J$6 * 0.01</f>
        <v>3.8340338984701808E-3</v>
      </c>
      <c r="BK51" s="207">
        <f>INDEX($A$44:$H$56,MATCH($L51,$B$44:$B$56,0),MATCH($BC$43,$A$44:$H$44,0))*고양시_Modal_split!K$6 * 0.01</f>
        <v>0</v>
      </c>
      <c r="BL51" s="207">
        <f>INDEX($A$44:$H$56,MATCH($L51,$B$44:$B$56,0),MATCH($BC$43,$A$44:$H$44,0))*고양시_Modal_split!L$6 * 0.01</f>
        <v>5.8985136899541242E-4</v>
      </c>
      <c r="BM51" s="207">
        <f>INDEX($A$44:$H$56,MATCH($L51,$B$44:$B$56,0),MATCH($BC$43,$A$44:$H$44,0))*고양시_Modal_split!M$6 * 0.01</f>
        <v>7.0626940234977008E-4</v>
      </c>
      <c r="BN51" s="207">
        <f>INDEX($A$44:$H$56,MATCH($L51,$B$44:$B$56,0),MATCH($BC$43,$A$44:$H$44,0))*고양시_Modal_split!N$6 * 0.01</f>
        <v>0</v>
      </c>
      <c r="BO51" s="207">
        <f>INDEX($A$44:$H$56,MATCH($L51,$B$44:$B$56,0),MATCH($BC$43,$A$44:$H$44,0))*고양시_Modal_split!O$6 * 0.01</f>
        <v>6.2089617788990776E-5</v>
      </c>
      <c r="BP51" s="214">
        <f>INDEX($A$44:$H$56,MATCH($L51,$B$44:$B$56,0),MATCH($BC$43,$A$44:$H$44,0))*고양시_Modal_split!P$6 * 0.01</f>
        <v>7.7612022236238476E-2</v>
      </c>
      <c r="BQ51" s="213">
        <f>INDEX($A$44:$H$56,MATCH($L51,$B$44:$B$56,0),MATCH($BQ$43,$A$44:$H$44,0))*고양시_Modal_split!C$7 * 0.01</f>
        <v>0</v>
      </c>
      <c r="BR51" s="207">
        <f>INDEX($A$44:$H$56,MATCH($L51,$B$44:$B$56,0),MATCH($BQ$43,$A$44:$H$44,0))*고양시_Modal_split!D$7 * 0.01</f>
        <v>0.13475516714137409</v>
      </c>
      <c r="BS51" s="207">
        <f>INDEX($A$44:$H$56,MATCH($L51,$B$44:$B$56,0),MATCH($BQ$43,$A$44:$H$44,0))*고양시_Modal_split!E$7 * 0.01</f>
        <v>6.5750318171133894E-3</v>
      </c>
      <c r="BT51" s="207">
        <f>INDEX($A$44:$H$56,MATCH($L51,$B$44:$B$56,0),MATCH($BQ$43,$A$44:$H$44,0))*고양시_Modal_split!F$7 * 0.01</f>
        <v>2.1990072966934413E-3</v>
      </c>
      <c r="BU51" s="207">
        <f>INDEX($A$44:$H$56,MATCH($L51,$B$44:$B$56,0),MATCH($BQ$43,$A$44:$H$44,0))*고양시_Modal_split!G$7 * 0.01</f>
        <v>9.2358306461124535E-4</v>
      </c>
      <c r="BV51" s="207">
        <f>INDEX($A$44:$H$56,MATCH($L51,$B$44:$B$56,0),MATCH($BQ$43,$A$44:$H$44,0))*고양시_Modal_split!H$7 * 0.01</f>
        <v>1.2292450788516335E-2</v>
      </c>
      <c r="BW51" s="207">
        <f>INDEX($A$44:$H$56,MATCH($L51,$B$44:$B$56,0),MATCH($BQ$43,$A$44:$H$44,0))*고양시_Modal_split!I$7 * 0.01</f>
        <v>4.1055466229266556E-2</v>
      </c>
      <c r="BX51" s="207">
        <f>INDEX($A$44:$H$56,MATCH($L51,$B$44:$B$56,0),MATCH($BQ$43,$A$44:$H$44,0))*고양시_Modal_split!J$7 * 0.01</f>
        <v>4.3980145933868826E-5</v>
      </c>
      <c r="BY51" s="207">
        <f>INDEX($A$44:$H$56,MATCH($L51,$B$44:$B$56,0),MATCH($BQ$43,$A$44:$H$44,0))*고양시_Modal_split!K$7 * 0.01</f>
        <v>1.6932356184539501E-2</v>
      </c>
      <c r="BZ51" s="207">
        <f>INDEX($A$44:$H$56,MATCH($L51,$B$44:$B$56,0),MATCH($BQ$43,$A$44:$H$44,0))*고양시_Modal_split!L$7 * 0.01</f>
        <v>1.5393051076854086E-4</v>
      </c>
      <c r="CA51" s="207">
        <f>INDEX($A$44:$H$56,MATCH($L51,$B$44:$B$56,0),MATCH($BQ$43,$A$44:$H$44,0))*고양시_Modal_split!M$7 * 0.01</f>
        <v>4.1121436448167351E-3</v>
      </c>
      <c r="CB51" s="207">
        <f>INDEX($A$44:$H$56,MATCH($L51,$B$44:$B$56,0),MATCH($BQ$43,$A$44:$H$44,0))*고양시_Modal_split!N$7 * 0.01</f>
        <v>8.5761284571044211E-4</v>
      </c>
      <c r="CC51" s="207">
        <f>INDEX($A$44:$H$56,MATCH($L51,$B$44:$B$56,0),MATCH($BQ$43,$A$44:$H$44,0))*고양시_Modal_split!O$7 * 0.01</f>
        <v>0</v>
      </c>
      <c r="CD51" s="214">
        <f>INDEX($A$44:$H$56,MATCH($L51,$B$44:$B$56,0),MATCH($BQ$43,$A$44:$H$44,0))*고양시_Modal_split!P$7 * 0.01</f>
        <v>0.21990072966934412</v>
      </c>
      <c r="CE51" s="218">
        <f t="shared" si="24"/>
        <v>196.79080188829835</v>
      </c>
      <c r="CF51" s="208">
        <f t="shared" si="7"/>
        <v>267.28678089048805</v>
      </c>
      <c r="CG51" s="208">
        <f t="shared" si="8"/>
        <v>57.718792627294143</v>
      </c>
      <c r="CH51" s="208">
        <f t="shared" si="9"/>
        <v>14.352021619593824</v>
      </c>
      <c r="CI51" s="208">
        <f t="shared" si="10"/>
        <v>76.558490128963214</v>
      </c>
      <c r="CJ51" s="208">
        <f t="shared" si="11"/>
        <v>4.4750445254563398E-2</v>
      </c>
      <c r="CK51" s="208">
        <f t="shared" si="12"/>
        <v>25.614072564061985</v>
      </c>
      <c r="CL51" s="208">
        <f t="shared" si="13"/>
        <v>57.484167603472919</v>
      </c>
      <c r="CM51" s="208">
        <f t="shared" si="14"/>
        <v>0.14720413550806669</v>
      </c>
      <c r="CN51" s="208">
        <f t="shared" si="15"/>
        <v>33.067935060231477</v>
      </c>
      <c r="CO51" s="208">
        <f t="shared" si="16"/>
        <v>4.7135132846788483</v>
      </c>
      <c r="CP51" s="208">
        <f t="shared" si="17"/>
        <v>16.274226285748551</v>
      </c>
      <c r="CQ51" s="208">
        <f t="shared" si="18"/>
        <v>7.5634661939715091</v>
      </c>
      <c r="CR51" s="219">
        <f t="shared" si="19"/>
        <v>757.61622272756563</v>
      </c>
      <c r="CS51" s="225">
        <f t="shared" si="25"/>
        <v>0</v>
      </c>
      <c r="CV51" s="265" t="s">
        <v>433</v>
      </c>
      <c r="CW51" s="271" t="s">
        <v>484</v>
      </c>
      <c r="CX51" s="267">
        <f>INDEX($M$43:$Z$56,MATCH($CW51,$L$43:$L$56,0),MATCH(CX$44,$M$44:$Z$44,0))/INDEX(고양시_재차인원!$D$4:$H$35,MATCH("고양시",고양시_재차인원!$B$4:$B$35,0),MATCH('A.일산테크노밸리(859991)_수정'!$CX$43,고양시_재차인원!$D$4:$H$4,0))</f>
        <v>34.865996386368586</v>
      </c>
      <c r="CY51" s="267">
        <f>INDEX($M$43:$Z$56,MATCH($CW51,$L$43:$L$56,0),MATCH(CY$44,$M$44:$Z$44,0))/INDEX(고양시_재차인원!$K$4:$O$20,MATCH("경기도",고양시_재차인원!$K$4:$K$20,0),MATCH('A.일산테크노밸리(859991)_수정'!CY$44,고양시_재차인원!$K$4:$O$4,0))</f>
        <v>2.8840544791850083E-4</v>
      </c>
      <c r="CZ51" s="267">
        <f>INDEX($M$43:$Z$56,MATCH($CW51,$L$43:$L$56,0),MATCH(CZ$44,$M$44:$Z$44,0))/INDEX(고양시_재차인원!$K$4:$O$20,MATCH("경기도",고양시_재차인원!$K$4:$K$20,0),MATCH('A.일산테크노밸리(859991)_수정'!CZ$44,고양시_재차인원!$K$4:$O$4,0))</f>
        <v>8.0176714521343215E-2</v>
      </c>
      <c r="DA51" s="267">
        <f>INDEX($M$43:$Z$56,MATCH($CW51,$L$43:$L$56,0),MATCH(DA$44,$M$44:$Z$44,0))/INDEX(고양시_재차인원!$K$4:$O$20,MATCH("경기도",고양시_재차인원!$K$4:$K$20,0),MATCH('A.일산테크노밸리(859991)_수정'!DA$44,고양시_재차인원!$K$4:$O$4,0))</f>
        <v>1.6717094929088259</v>
      </c>
      <c r="DB51" s="268">
        <f>INDEX($AA$43:$AN$56,MATCH($CW51,$L$43:$L$56,0),MATCH(DB$44,$AA$44:$AN$44,0))/INDEX(고양시_재차인원!$D$4:$H$35,MATCH("고양시",고양시_재차인원!$B$4:$B$35,0),MATCH('A.일산테크노밸리(859991)_수정'!$DB$43,고양시_재차인원!$D$4:$H$4,0))</f>
        <v>146.85497773498125</v>
      </c>
      <c r="DC51" s="267">
        <f>INDEX($AA$43:$AN$56,MATCH($CW51,$L$43:$L$56,0),MATCH(DC$44,$AA$44:$AN$44,0))/INDEX(고양시_재차인원!$K$4:$O$20,MATCH("경기도",고양시_재차인원!$K$4:$K$20,0),MATCH('A.일산테크노밸리(859991)_수정'!DC$44,고양시_재차인원!$K$4:$O$4,0))</f>
        <v>0</v>
      </c>
      <c r="DD51" s="267">
        <f>INDEX($AA$43:$AN$56,MATCH($CW51,$L$43:$L$56,0),MATCH(DD$44,$AA$44:$AN$44,0))/INDEX(고양시_재차인원!$K$4:$O$20,MATCH("경기도",고양시_재차인원!$K$4:$K$20,0),MATCH('A.일산테크노밸리(859991)_수정'!DD$44,고양시_재차인원!$K$4:$O$4,0))</f>
        <v>0.78045236962649533</v>
      </c>
      <c r="DE51" s="267">
        <f>INDEX($AA$43:$AN$56,MATCH($CW51,$L$43:$L$56,0),MATCH(DE$44,$AA$44:$AN$44,0))/INDEX(고양시_재차인원!$K$4:$O$20,MATCH("경기도",고양시_재차인원!$K$4:$K$20,0),MATCH('A.일산테크노밸리(859991)_수정'!DE$44,고양시_재차인원!$K$4:$O$4,0))</f>
        <v>19.886554328265564</v>
      </c>
      <c r="DF51" s="268">
        <f>INDEX($AO$43:$BB$56,MATCH($CW51,$L$43:$L$56,0),MATCH(DF$44,$AO$44:$BB$44,0))/INDEX(고양시_재차인원!$D$4:$H$35,MATCH("고양시",고양시_재차인원!$B$4:$B$35,0),MATCH('A.일산테크노밸리(859991)_수정'!$DF$43,고양시_재차인원!$D$4:$H$4,0))</f>
        <v>16.132554345135745</v>
      </c>
      <c r="DG51" s="267">
        <f>INDEX($AO$43:$BB$56,MATCH($CW51,$L$43:$L$56,0),MATCH(DG$44,$AO$44:$BB$44,0))/INDEX(고양시_재차인원!$K$4:$O$20,MATCH("경기도",고양시_재차인원!$K$4:$K$20,0),MATCH('A.일산테크노밸리(859991)_수정'!DG$44,고양시_재차인원!$K$4:$O$4,0))</f>
        <v>6.958528391708635E-4</v>
      </c>
      <c r="DH51" s="267">
        <f>INDEX($AO$43:$BB$56,MATCH($CW51,$L$43:$L$56,0),MATCH(DH$44,$AO$44:$BB$44,0))/INDEX(고양시_재차인원!$K$4:$O$20,MATCH("경기도",고양시_재차인원!$K$4:$K$20,0),MATCH('A.일산테크노밸리(859991)_수정'!DH$44,고양시_재차인원!$K$4:$O$4,0))</f>
        <v>2.7535890921475598E-2</v>
      </c>
      <c r="DI51" s="267">
        <f>INDEX($AO$43:$BB$56,MATCH($CW51,$L$43:$L$56,0),MATCH(DI$44,$AO$44:$BB$44,0))/INDEX(고양시_재차인원!$K$4:$O$20,MATCH("경기도",고양시_재차인원!$K$4:$K$20,0),MATCH('A.일산테크노밸리(859991)_수정'!DI$44,고양시_재차인원!$K$4:$O$4,0))</f>
        <v>0.4865303643934224</v>
      </c>
      <c r="DJ51" s="268">
        <f>INDEX($BC$43:$BP$56,MATCH($CW51,$L$43:$L$56,0),MATCH(DJ$44,$BC$44:$BP$44,0))/INDEX(고양시_재차인원!$D$4:$H$35,MATCH("고양시",고양시_재차인원!$B$4:$B$35,0),MATCH('A.일산테크노밸리(859991)_수정'!$DJ$43,고양시_재차인원!$D$4:$H$4,0))</f>
        <v>4.7257732068991962E-2</v>
      </c>
      <c r="DK51" s="267">
        <f>INDEX($BC$43:$BP$56,MATCH($CW51,$L$43:$L$56,0),MATCH(DK$44,$BC$44:$BP$44,0))/INDEX(고양시_재차인원!$K$4:$O$20,MATCH("경기도",고양시_재차인원!$K$4:$K$20,0),MATCH('A.일산테크노밸리(859991)_수정'!DK$44,고양시_재차인원!$K$4:$O$4,0))</f>
        <v>1.4314686977229122E-4</v>
      </c>
      <c r="DL51" s="267">
        <f>INDEX($BC$43:$BP$56,MATCH($CW51,$L$43:$L$56,0),MATCH(DL$44,$BC$44:$BP$44,0))/INDEX(고양시_재차인원!$K$4:$O$20,MATCH("경기도",고양시_재차인원!$K$4:$K$20,0),MATCH('A.일산테크노밸리(859991)_수정'!DL$44,고양시_재차인원!$K$4:$O$4,0))</f>
        <v>9.5431246514860799E-5</v>
      </c>
      <c r="DM51" s="267">
        <f>INDEX($BC$43:$BP$56,MATCH($CW51,$L$43:$L$56,0),MATCH(DM$44,$BC$44:$BP$44,0))/INDEX(고양시_재차인원!$K$4:$O$20,MATCH("경기도",고양시_재차인원!$K$4:$K$20,0),MATCH('A.일산테크노밸리(859991)_수정'!DM$44,고양시_재차인원!$K$4:$O$4,0))</f>
        <v>3.9323424599694163E-4</v>
      </c>
      <c r="DN51" s="268">
        <f>INDEX($BQ$43:$CD$56,MATCH($CW51,$L$43:$L$56,0),MATCH(DN$44,$BQ$44:$CD$44,0))/INDEX(고양시_재차인원!$D$4:$H$35,MATCH("고양시",고양시_재차인원!$B$4:$B$35,0),MATCH('A.일산테크노밸리(859991)_수정'!$DN$43,고양시_재차인원!$D$4:$H$4,0))</f>
        <v>0.10694854535029689</v>
      </c>
      <c r="DO51" s="267">
        <f>INDEX($BQ$43:$CD$56,MATCH($CW51,$L$43:$L$56,0),MATCH(DO$44,$BQ$44:$CD$44,0))/INDEX(고양시_재차인원!$K$4:$O$20,MATCH("경기도",고양시_재차인원!$K$4:$K$20,0),MATCH('A.일산테크노밸리(859991)_수정'!DO$44,고양시_재차인원!$K$4:$O$4,0))</f>
        <v>4.2696946121974076E-4</v>
      </c>
      <c r="DP51" s="267">
        <f>INDEX($BQ$43:$CD$56,MATCH($CW51,$L$43:$L$56,0),MATCH(DP$44,$BQ$44:$CD$44,0))/INDEX(고양시_재차인원!$K$4:$O$20,MATCH("경기도",고양시_재차인원!$K$4:$K$20,0),MATCH('A.일산테크노밸리(859991)_수정'!DP$44,고양시_재차인원!$K$4:$O$4,0))</f>
        <v>1.4260321719092239E-3</v>
      </c>
      <c r="DQ51" s="267">
        <f>INDEX($BQ$43:$CD$56,MATCH($CW51,$L$43:$L$56,0),MATCH(DQ$44,$BQ$44:$CD$44,0))/INDEX(고양시_재차인원!$K$4:$O$20,MATCH("경기도",고양시_재차인원!$K$4:$K$20,0),MATCH('A.일산테크노밸리(859991)_수정'!DQ$44,고양시_재차인원!$K$4:$O$4,0))</f>
        <v>1.0262034051236058E-4</v>
      </c>
      <c r="DR51" s="269">
        <f t="shared" si="26"/>
        <v>198.00773474390485</v>
      </c>
      <c r="DS51" s="270">
        <f t="shared" si="20"/>
        <v>1.5543746180813965E-3</v>
      </c>
      <c r="DT51" s="270">
        <f t="shared" si="21"/>
        <v>0.88968643848773821</v>
      </c>
      <c r="DU51" s="270">
        <f t="shared" si="22"/>
        <v>22.045290040154324</v>
      </c>
      <c r="DW51" s="278"/>
      <c r="DX51" s="278" t="s">
        <v>596</v>
      </c>
      <c r="DY51" s="281">
        <f>SUM(DR51:DR53)+SUM(DU51:DU53)</f>
        <v>952.64161231892967</v>
      </c>
      <c r="DZ51" s="281">
        <f>SUM(DS51:DS53)+SUM(DT51:DT53)</f>
        <v>3.8583113592495661</v>
      </c>
      <c r="EC51" s="412" t="s">
        <v>15</v>
      </c>
      <c r="ED51" s="412" t="s">
        <v>571</v>
      </c>
      <c r="EE51" s="412">
        <v>10713.892900000001</v>
      </c>
      <c r="EF51" s="412">
        <v>4.9759499124587728E-2</v>
      </c>
      <c r="EG51" s="413">
        <v>859007</v>
      </c>
      <c r="EH51" s="414">
        <f t="shared" si="29"/>
        <v>387.64652477542592</v>
      </c>
      <c r="EI51" s="415">
        <f t="shared" si="30"/>
        <v>1.5700143375785274</v>
      </c>
      <c r="EJ51" s="402">
        <v>0</v>
      </c>
      <c r="EM51" s="278" t="s">
        <v>15</v>
      </c>
      <c r="EN51" s="278" t="s">
        <v>571</v>
      </c>
      <c r="EO51" s="278">
        <v>10713.892900000001</v>
      </c>
      <c r="EP51" s="278">
        <v>4.9759499124587728E-2</v>
      </c>
      <c r="EQ51" s="289">
        <v>859007</v>
      </c>
      <c r="ER51" s="290">
        <f t="shared" si="31"/>
        <v>387.64652477542592</v>
      </c>
      <c r="ES51" s="291">
        <f t="shared" si="23"/>
        <v>1.5700143375785274</v>
      </c>
      <c r="ET51" s="402">
        <v>0</v>
      </c>
      <c r="EV51" s="34"/>
      <c r="EW51" s="34"/>
      <c r="EX51" s="34"/>
      <c r="EY51" s="34"/>
      <c r="EZ51" s="378"/>
      <c r="FA51" s="401"/>
      <c r="FB51" s="402"/>
      <c r="FC51" s="402"/>
    </row>
    <row r="52" spans="1:159" ht="27" customHeight="1">
      <c r="A52" s="205" t="s">
        <v>491</v>
      </c>
      <c r="B52" s="203" t="s">
        <v>486</v>
      </c>
      <c r="C52" s="400">
        <f>'A.일산테크노밸리(859991)_수정'!$P35*KTDB_TripDistribution_2040!L$12 * (1 + KTDB_발생량도착량_증가율!$D$7*5) * (1 + KTDB_발생량도착량_증가율!$E$7*5) * (1 + KTDB_발생량도착량_증가율!$F$7*5)</f>
        <v>63.838618360440535</v>
      </c>
      <c r="D52" s="400">
        <f>'A.일산테크노밸리(859991)_수정'!$P35*KTDB_TripDistribution_2040!M$12 * (1 + KTDB_발생량도착량_증가율!$D$7*5) * (1 + KTDB_발생량도착량_증가율!$E$7*5) * (1 + KTDB_발생량도착량_증가율!$F$7*5)</f>
        <v>496.41760951260051</v>
      </c>
      <c r="E52" s="400">
        <f>'A.일산테크노밸리(859991)_수정'!$P35*KTDB_TripDistribution_2040!N$12 * (1 + KTDB_발생량도착량_증가율!$D$7*5) * (1 + KTDB_발생량도착량_증가율!$E$7*5) * (1 + KTDB_발생량도착량_증가율!$F$7*5)</f>
        <v>22.003885826838196</v>
      </c>
      <c r="F52" s="400">
        <f>'A.일산테크노밸리(859991)_수정'!$P35*KTDB_TripDistribution_2040!O$12 * (1 + KTDB_발생량도착량_증가율!$D$7*5) * (1 + KTDB_발생량도착량_증가율!$E$7*5) * (1 + KTDB_발생량도착량_증가율!$F$7*5)</f>
        <v>5.967155478464567E-2</v>
      </c>
      <c r="G52" s="400">
        <f>'A.일산테크노밸리(859991)_수정'!$P35*KTDB_TripDistribution_2040!P$12 * (1 + KTDB_발생량도착량_증가율!$D$7*5) * (1 + KTDB_발생량도착량_증가율!$E$7*5) * (1 + KTDB_발생량도착량_증가율!$F$7*5)</f>
        <v>0.16906940522316408</v>
      </c>
      <c r="H52" s="400">
        <f>'A.일산테크노밸리(859991)_수정'!$P35*KTDB_TripDistribution_2040!Q$12 * (1 + KTDB_발생량도착량_증가율!$D$7*5) * (1 + KTDB_발생량도착량_증가율!$E$7*5) * (1 + KTDB_발생량도착량_증가율!$F$7*5)</f>
        <v>582.48885465988712</v>
      </c>
      <c r="J52" s="230">
        <f t="shared" si="6"/>
        <v>582.48885465988712</v>
      </c>
      <c r="K52" s="206"/>
      <c r="L52" s="210" t="s">
        <v>486</v>
      </c>
      <c r="M52" s="213">
        <f>INDEX($A$44:$H$56,MATCH($L52,$B$44:$B$56,0),MATCH($M$43,$A$44:$H$44,0))*고양시_Modal_split!C$3 * 0.01</f>
        <v>0.17874813140923348</v>
      </c>
      <c r="N52" s="207">
        <f>INDEX($A$44:$H$56,MATCH($L52,$B$44:$B$56,0),MATCH($M$43,$A$44:$H$44,0))*고양시_Modal_split!D$3 * 0.01</f>
        <v>30.023302214915184</v>
      </c>
      <c r="O52" s="207">
        <f>INDEX($A$44:$H$56,MATCH($L52,$B$44:$B$56,0),MATCH($M$43,$A$44:$H$44,0))*고양시_Modal_split!E$3 * 0.01</f>
        <v>3.6324173847090662</v>
      </c>
      <c r="P52" s="207">
        <f>INDEX($A$44:$H$56,MATCH($L52,$B$44:$B$56,0),MATCH($M$43,$A$44:$H$44,0))*고양시_Modal_split!F$3 * 0.01</f>
        <v>5.8540013036523968</v>
      </c>
      <c r="Q52" s="207">
        <f>INDEX($A$44:$H$56,MATCH($L52,$B$44:$B$56,0),MATCH($M$43,$A$44:$H$44,0))*고양시_Modal_split!G$3 * 0.01</f>
        <v>0.58731528891605289</v>
      </c>
      <c r="R52" s="207">
        <f>INDEX($A$44:$H$56,MATCH($L52,$B$44:$B$56,0),MATCH($M$43,$A$44:$H$44,0))*고양시_Modal_split!H$3 * 0.01</f>
        <v>6.3838618360440537E-3</v>
      </c>
      <c r="S52" s="207">
        <f>INDEX($A$44:$H$56,MATCH($L52,$B$44:$B$56,0),MATCH($M$43,$A$44:$H$44,0))*고양시_Modal_split!I$3 * 0.01</f>
        <v>1.7747135904202469</v>
      </c>
      <c r="T52" s="207">
        <f>INDEX($A$44:$H$56,MATCH($L52,$B$44:$B$56,0),MATCH($M$43,$A$44:$H$44,0))*고양시_Modal_split!J$3 * 0.01</f>
        <v>19.432475428918099</v>
      </c>
      <c r="U52" s="207">
        <f>INDEX($A$44:$H$56,MATCH($L52,$B$44:$B$56,0),MATCH($M$43,$A$44:$H$44,0))*고양시_Modal_split!K$3 * 0.01</f>
        <v>9.5757927540660814E-2</v>
      </c>
      <c r="V52" s="207">
        <f>INDEX($A$44:$H$56,MATCH($L52,$B$44:$B$56,0),MATCH($M$43,$A$44:$H$44,0))*고양시_Modal_split!L$3 * 0.01</f>
        <v>1.9279262744853043</v>
      </c>
      <c r="W52" s="207">
        <f>INDEX($A$44:$H$56,MATCH($L52,$B$44:$B$56,0),MATCH($M$43,$A$44:$H$44,0))*고양시_Modal_split!M$3 * 0.01</f>
        <v>0.14682882222901322</v>
      </c>
      <c r="X52" s="207">
        <f>INDEX($A$44:$H$56,MATCH($L52,$B$44:$B$56,0),MATCH($M$43,$A$44:$H$44,0))*고양시_Modal_split!N$3 * 0.01</f>
        <v>6.3838618360440538E-2</v>
      </c>
      <c r="Y52" s="207">
        <f>INDEX($A$44:$H$56,MATCH($L52,$B$44:$B$56,0),MATCH($M$43,$A$44:$H$44,0))*고양시_Modal_split!O$3 * 0.01</f>
        <v>0.11490951304879296</v>
      </c>
      <c r="Z52" s="214">
        <f>INDEX($A$44:$H$56,MATCH($L52,$B$44:$B$56,0),MATCH($M$43,$A$44:$H$44,0))*고양시_Modal_split!P$3 * 0.01</f>
        <v>63.838618360440535</v>
      </c>
      <c r="AA52" s="213">
        <f>INDEX($A$44:$H$56,MATCH($L52,$B$44:$B$56,0),MATCH($AA$43,$A$44:$H$44,0))*고양시_Modal_split!C$4 * 0.01</f>
        <v>151.10952033563561</v>
      </c>
      <c r="AB52" s="207">
        <f>INDEX($A$44:$H$56,MATCH($L52,$B$44:$B$56,0),MATCH($AA$43,$A$44:$H$44,0))*고양시_Modal_split!D$4 * 0.01</f>
        <v>159.20112737069098</v>
      </c>
      <c r="AC52" s="207">
        <f>INDEX($A$44:$H$56,MATCH($L52,$B$44:$B$56,0),MATCH($AA$43,$A$44:$H$44,0))*고양시_Modal_split!E$4 * 0.01</f>
        <v>38.571648259129063</v>
      </c>
      <c r="AD52" s="207">
        <f>INDEX($A$44:$H$56,MATCH($L52,$B$44:$B$56,0),MATCH($AA$43,$A$44:$H$44,0))*고양시_Modal_split!F$4 * 0.01</f>
        <v>4.7159672903697052</v>
      </c>
      <c r="AE52" s="207">
        <f>INDEX($A$44:$H$56,MATCH($L52,$B$44:$B$56,0),MATCH($AA$43,$A$44:$H$44,0))*고양시_Modal_split!G$4 * 0.01</f>
        <v>58.13050207392552</v>
      </c>
      <c r="AF52" s="207">
        <f>INDEX($A$44:$H$56,MATCH($L52,$B$44:$B$56,0),MATCH($AA$43,$A$44:$H$44,0))*고양시_Modal_split!H$4 * 0.01</f>
        <v>0</v>
      </c>
      <c r="AG52" s="207">
        <f>INDEX($A$44:$H$56,MATCH($L52,$B$44:$B$56,0),MATCH($AA$43,$A$44:$H$44,0))*고양시_Modal_split!I$4 * 0.01</f>
        <v>17.275332811038496</v>
      </c>
      <c r="AH52" s="207">
        <f>INDEX($A$44:$H$56,MATCH($L52,$B$44:$B$56,0),MATCH($AA$43,$A$44:$H$44,0))*고양시_Modal_split!J$4 * 0.01</f>
        <v>23.381269408043487</v>
      </c>
      <c r="AI52" s="207">
        <f>INDEX($A$44:$H$56,MATCH($L52,$B$44:$B$56,0),MATCH($AA$43,$A$44:$H$44,0))*고양시_Modal_split!K$4 * 0.01</f>
        <v>0</v>
      </c>
      <c r="AJ52" s="207">
        <f>INDEX($A$44:$H$56,MATCH($L52,$B$44:$B$56,0),MATCH($AA$43,$A$44:$H$44,0))*고양시_Modal_split!L$4 * 0.01</f>
        <v>22.934493559482146</v>
      </c>
      <c r="AK52" s="207">
        <f>INDEX($A$44:$H$56,MATCH($L52,$B$44:$B$56,0),MATCH($AA$43,$A$44:$H$44,0))*고양시_Modal_split!M$4 * 0.01</f>
        <v>3.3259979837344238</v>
      </c>
      <c r="AL52" s="207">
        <f>INDEX($A$44:$H$56,MATCH($L52,$B$44:$B$56,0),MATCH($AA$43,$A$44:$H$44,0))*고양시_Modal_split!N$4 * 0.01</f>
        <v>12.410440237815012</v>
      </c>
      <c r="AM52" s="207">
        <f>INDEX($A$44:$H$56,MATCH($L52,$B$44:$B$56,0),MATCH($AA$43,$A$44:$H$44,0))*고양시_Modal_split!O$4 * 0.01</f>
        <v>5.3613101827360854</v>
      </c>
      <c r="AN52" s="214">
        <f>INDEX($A$44:$H$56,MATCH($L52,$B$44:$B$56,0),MATCH($AA$43,$A$44:$H$44,0))*고양시_Modal_split!P$4 * 0.01</f>
        <v>496.41760951260056</v>
      </c>
      <c r="AO52" s="213">
        <f>INDEX($A$44:$H$56,MATCH($L52,$B$44:$B$56,0),MATCH($AO$43,$A$44:$H$44,0))*고양시_Modal_split!C$5 * 0.01</f>
        <v>1.3202331496102917E-2</v>
      </c>
      <c r="AP52" s="207">
        <f>INDEX($A$44:$H$56,MATCH($L52,$B$44:$B$56,0),MATCH($AO$43,$A$44:$H$44,0))*고양시_Modal_split!D$5 * 0.01</f>
        <v>16.124447533907031</v>
      </c>
      <c r="AQ52" s="207">
        <f>INDEX($A$44:$H$56,MATCH($L52,$B$44:$B$56,0),MATCH($AO$43,$A$44:$H$44,0))*고양시_Modal_split!E$5 * 0.01</f>
        <v>2.1673827539435626</v>
      </c>
      <c r="AR52" s="207">
        <f>INDEX($A$44:$H$56,MATCH($L52,$B$44:$B$56,0),MATCH($AO$43,$A$44:$H$44,0))*고양시_Modal_split!F$5 * 0.01</f>
        <v>0.46208160236360213</v>
      </c>
      <c r="AS52" s="207">
        <f>INDEX($A$44:$H$56,MATCH($L52,$B$44:$B$56,0),MATCH($AO$43,$A$44:$H$44,0))*고양시_Modal_split!G$5 * 0.01</f>
        <v>0.14302525787444828</v>
      </c>
      <c r="AT52" s="207">
        <f>INDEX($A$44:$H$56,MATCH($L52,$B$44:$B$56,0),MATCH($AO$43,$A$44:$H$44,0))*고양시_Modal_split!H$5 * 0.01</f>
        <v>1.5402720078786736E-2</v>
      </c>
      <c r="AU52" s="207">
        <f>INDEX($A$44:$H$56,MATCH($L52,$B$44:$B$56,0),MATCH($AO$43,$A$44:$H$44,0))*고양시_Modal_split!I$5 * 0.01</f>
        <v>0.60950763740341807</v>
      </c>
      <c r="AV52" s="207">
        <f>INDEX($A$44:$H$56,MATCH($L52,$B$44:$B$56,0),MATCH($AO$43,$A$44:$H$44,0))*고양시_Modal_split!J$5 * 0.01</f>
        <v>1.3796436413427551</v>
      </c>
      <c r="AW52" s="207">
        <f>INDEX($A$44:$H$56,MATCH($L52,$B$44:$B$56,0),MATCH($AO$43,$A$44:$H$44,0))*고양시_Modal_split!K$5 * 0.01</f>
        <v>4.4007771653676395E-3</v>
      </c>
      <c r="AX52" s="207">
        <f>INDEX($A$44:$H$56,MATCH($L52,$B$44:$B$56,0),MATCH($AO$43,$A$44:$H$44,0))*고양시_Modal_split!L$5 * 0.01</f>
        <v>0.56109908858437396</v>
      </c>
      <c r="AY52" s="207">
        <f>INDEX($A$44:$H$56,MATCH($L52,$B$44:$B$56,0),MATCH($AO$43,$A$44:$H$44,0))*고양시_Modal_split!M$5 * 0.01</f>
        <v>0.14742603503981594</v>
      </c>
      <c r="AZ52" s="207">
        <f>INDEX($A$44:$H$56,MATCH($L52,$B$44:$B$56,0),MATCH($AO$43,$A$44:$H$44,0))*고양시_Modal_split!N$5 * 0.01</f>
        <v>3.7406605905624932E-2</v>
      </c>
      <c r="BA52" s="207">
        <f>INDEX($A$44:$H$56,MATCH($L52,$B$44:$B$56,0),MATCH($AO$43,$A$44:$H$44,0))*고양시_Modal_split!O$5 * 0.01</f>
        <v>0.33885984173330824</v>
      </c>
      <c r="BB52" s="214">
        <f>INDEX($A$44:$H$56,MATCH($L52,$B$44:$B$56,0),MATCH($AO$43,$A$44:$H$44,0))*고양시_Modal_split!P$5 * 0.01</f>
        <v>22.003885826838196</v>
      </c>
      <c r="BC52" s="213">
        <f>INDEX($A$44:$H$56,MATCH($L52,$B$44:$B$56,0),MATCH($BC$43,$A$44:$H$44,0))*고양시_Modal_split!C$6 * 0.01</f>
        <v>0</v>
      </c>
      <c r="BD52" s="207">
        <f>INDEX($A$44:$H$56,MATCH($L52,$B$44:$B$56,0),MATCH($BC$43,$A$44:$H$44,0))*고양시_Modal_split!D$6 * 0.01</f>
        <v>4.9414014517165067E-2</v>
      </c>
      <c r="BE52" s="207">
        <f>INDEX($A$44:$H$56,MATCH($L52,$B$44:$B$56,0),MATCH($BC$43,$A$44:$H$44,0))*고양시_Modal_split!E$6 * 0.01</f>
        <v>2.5658768557397635E-4</v>
      </c>
      <c r="BF52" s="207">
        <f>INDEX($A$44:$H$56,MATCH($L52,$B$44:$B$56,0),MATCH($BC$43,$A$44:$H$44,0))*고양시_Modal_split!F$6 * 0.01</f>
        <v>7.2799296837267719E-4</v>
      </c>
      <c r="BG52" s="207">
        <f>INDEX($A$44:$H$56,MATCH($L52,$B$44:$B$56,0),MATCH($BC$43,$A$44:$H$44,0))*고양시_Modal_split!G$6 * 0.01</f>
        <v>0</v>
      </c>
      <c r="BH52" s="207">
        <f>INDEX($A$44:$H$56,MATCH($L52,$B$44:$B$56,0),MATCH($BC$43,$A$44:$H$44,0))*고양시_Modal_split!H$6 * 0.01</f>
        <v>3.1685595590646852E-3</v>
      </c>
      <c r="BI52" s="207">
        <f>INDEX($A$44:$H$56,MATCH($L52,$B$44:$B$56,0),MATCH($BC$43,$A$44:$H$44,0))*고양시_Modal_split!I$6 * 0.01</f>
        <v>2.1123730393764568E-3</v>
      </c>
      <c r="BJ52" s="207">
        <f>INDEX($A$44:$H$56,MATCH($L52,$B$44:$B$56,0),MATCH($BC$43,$A$44:$H$44,0))*고양시_Modal_split!J$6 * 0.01</f>
        <v>2.9477748063614956E-3</v>
      </c>
      <c r="BK52" s="207">
        <f>INDEX($A$44:$H$56,MATCH($L52,$B$44:$B$56,0),MATCH($BC$43,$A$44:$H$44,0))*고양시_Modal_split!K$6 * 0.01</f>
        <v>0</v>
      </c>
      <c r="BL52" s="207">
        <f>INDEX($A$44:$H$56,MATCH($L52,$B$44:$B$56,0),MATCH($BC$43,$A$44:$H$44,0))*고양시_Modal_split!L$6 * 0.01</f>
        <v>4.5350381636330715E-4</v>
      </c>
      <c r="BM52" s="207">
        <f>INDEX($A$44:$H$56,MATCH($L52,$B$44:$B$56,0),MATCH($BC$43,$A$44:$H$44,0))*고양시_Modal_split!M$6 * 0.01</f>
        <v>5.430111485402756E-4</v>
      </c>
      <c r="BN52" s="207">
        <f>INDEX($A$44:$H$56,MATCH($L52,$B$44:$B$56,0),MATCH($BC$43,$A$44:$H$44,0))*고양시_Modal_split!N$6 * 0.01</f>
        <v>0</v>
      </c>
      <c r="BO52" s="207">
        <f>INDEX($A$44:$H$56,MATCH($L52,$B$44:$B$56,0),MATCH($BC$43,$A$44:$H$44,0))*고양시_Modal_split!O$6 * 0.01</f>
        <v>4.7737243827716542E-5</v>
      </c>
      <c r="BP52" s="214">
        <f>INDEX($A$44:$H$56,MATCH($L52,$B$44:$B$56,0),MATCH($BC$43,$A$44:$H$44,0))*고양시_Modal_split!P$6 * 0.01</f>
        <v>5.967155478464567E-2</v>
      </c>
      <c r="BQ52" s="213">
        <f>INDEX($A$44:$H$56,MATCH($L52,$B$44:$B$56,0),MATCH($BQ$43,$A$44:$H$44,0))*고양시_Modal_split!C$7 * 0.01</f>
        <v>0</v>
      </c>
      <c r="BR52" s="207">
        <f>INDEX($A$44:$H$56,MATCH($L52,$B$44:$B$56,0),MATCH($BQ$43,$A$44:$H$44,0))*고양시_Modal_split!D$7 * 0.01</f>
        <v>0.10360573152075495</v>
      </c>
      <c r="BS52" s="207">
        <f>INDEX($A$44:$H$56,MATCH($L52,$B$44:$B$56,0),MATCH($BQ$43,$A$44:$H$44,0))*고양시_Modal_split!E$7 * 0.01</f>
        <v>5.0551752161726062E-3</v>
      </c>
      <c r="BT52" s="207">
        <f>INDEX($A$44:$H$56,MATCH($L52,$B$44:$B$56,0),MATCH($BQ$43,$A$44:$H$44,0))*고양시_Modal_split!F$7 * 0.01</f>
        <v>1.6906940522316409E-3</v>
      </c>
      <c r="BU52" s="207">
        <f>INDEX($A$44:$H$56,MATCH($L52,$B$44:$B$56,0),MATCH($BQ$43,$A$44:$H$44,0))*고양시_Modal_split!G$7 * 0.01</f>
        <v>7.1009150193728919E-4</v>
      </c>
      <c r="BV52" s="207">
        <f>INDEX($A$44:$H$56,MATCH($L52,$B$44:$B$56,0),MATCH($BQ$43,$A$44:$H$44,0))*고양시_Modal_split!H$7 * 0.01</f>
        <v>9.4509797519748712E-3</v>
      </c>
      <c r="BW52" s="207">
        <f>INDEX($A$44:$H$56,MATCH($L52,$B$44:$B$56,0),MATCH($BQ$43,$A$44:$H$44,0))*고양시_Modal_split!I$7 * 0.01</f>
        <v>3.1565257955164731E-2</v>
      </c>
      <c r="BX52" s="207">
        <f>INDEX($A$44:$H$56,MATCH($L52,$B$44:$B$56,0),MATCH($BQ$43,$A$44:$H$44,0))*고양시_Modal_split!J$7 * 0.01</f>
        <v>3.3813881044632815E-5</v>
      </c>
      <c r="BY52" s="207">
        <f>INDEX($A$44:$H$56,MATCH($L52,$B$44:$B$56,0),MATCH($BQ$43,$A$44:$H$44,0))*고양시_Modal_split!K$7 * 0.01</f>
        <v>1.3018344202183634E-2</v>
      </c>
      <c r="BZ52" s="207">
        <f>INDEX($A$44:$H$56,MATCH($L52,$B$44:$B$56,0),MATCH($BQ$43,$A$44:$H$44,0))*고양시_Modal_split!L$7 * 0.01</f>
        <v>1.1834858365621484E-4</v>
      </c>
      <c r="CA52" s="207">
        <f>INDEX($A$44:$H$56,MATCH($L52,$B$44:$B$56,0),MATCH($BQ$43,$A$44:$H$44,0))*고양시_Modal_split!M$7 * 0.01</f>
        <v>3.1615978776731684E-3</v>
      </c>
      <c r="CB52" s="207">
        <f>INDEX($A$44:$H$56,MATCH($L52,$B$44:$B$56,0),MATCH($BQ$43,$A$44:$H$44,0))*고양시_Modal_split!N$7 * 0.01</f>
        <v>6.5937068037033987E-4</v>
      </c>
      <c r="CC52" s="207">
        <f>INDEX($A$44:$H$56,MATCH($L52,$B$44:$B$56,0),MATCH($BQ$43,$A$44:$H$44,0))*고양시_Modal_split!O$7 * 0.01</f>
        <v>0</v>
      </c>
      <c r="CD52" s="214">
        <f>INDEX($A$44:$H$56,MATCH($L52,$B$44:$B$56,0),MATCH($BQ$43,$A$44:$H$44,0))*고양시_Modal_split!P$7 * 0.01</f>
        <v>0.16906940522316408</v>
      </c>
      <c r="CE52" s="218">
        <f t="shared" si="24"/>
        <v>151.30147079854095</v>
      </c>
      <c r="CF52" s="208">
        <f t="shared" si="7"/>
        <v>205.50189686555112</v>
      </c>
      <c r="CG52" s="208">
        <f t="shared" si="8"/>
        <v>44.376760160683439</v>
      </c>
      <c r="CH52" s="208">
        <f t="shared" si="9"/>
        <v>11.034468883406307</v>
      </c>
      <c r="CI52" s="208">
        <f t="shared" si="10"/>
        <v>58.861552712217957</v>
      </c>
      <c r="CJ52" s="208">
        <f t="shared" si="11"/>
        <v>3.4406121225870348E-2</v>
      </c>
      <c r="CK52" s="208">
        <f t="shared" si="12"/>
        <v>19.693231669856704</v>
      </c>
      <c r="CL52" s="208">
        <f t="shared" si="13"/>
        <v>44.196370066991747</v>
      </c>
      <c r="CM52" s="208">
        <f t="shared" si="14"/>
        <v>0.11317704890821209</v>
      </c>
      <c r="CN52" s="208">
        <f t="shared" si="15"/>
        <v>25.424090774951843</v>
      </c>
      <c r="CO52" s="208">
        <f t="shared" si="16"/>
        <v>3.623957450029466</v>
      </c>
      <c r="CP52" s="208">
        <f t="shared" si="17"/>
        <v>12.512344832761448</v>
      </c>
      <c r="CQ52" s="208">
        <f t="shared" si="18"/>
        <v>5.8151272747620144</v>
      </c>
      <c r="CR52" s="219">
        <f t="shared" si="19"/>
        <v>582.48885465988712</v>
      </c>
      <c r="CS52" s="225">
        <f t="shared" si="25"/>
        <v>0</v>
      </c>
      <c r="CV52" s="265" t="s">
        <v>433</v>
      </c>
      <c r="CW52" s="271" t="s">
        <v>486</v>
      </c>
      <c r="CX52" s="267">
        <f>INDEX($M$43:$Z$56,MATCH($CW52,$L$43:$L$56,0),MATCH(CX$44,$M$44:$Z$44,0))/INDEX(고양시_재차인원!$D$4:$H$35,MATCH("고양시",고양시_재차인원!$B$4:$B$35,0),MATCH('A.일산테크노밸리(859991)_수정'!$CX$43,고양시_재차인원!$D$4:$H$4,0))</f>
        <v>26.806519834745696</v>
      </c>
      <c r="CY52" s="267">
        <f>INDEX($M$43:$Z$56,MATCH($CW52,$L$43:$L$56,0),MATCH(CY$44,$M$44:$Z$44,0))/INDEX(고양시_재차인원!$K$4:$O$20,MATCH("경기도",고양시_재차인원!$K$4:$K$20,0),MATCH('A.일산테크노밸리(859991)_수정'!CY$44,고양시_재차인원!$K$4:$O$4,0))</f>
        <v>2.2173886196749057E-4</v>
      </c>
      <c r="CZ52" s="267">
        <f>INDEX($M$43:$Z$56,MATCH($CW52,$L$43:$L$56,0),MATCH(CZ$44,$M$44:$Z$44,0))/INDEX(고양시_재차인원!$K$4:$O$20,MATCH("경기도",고양시_재차인원!$K$4:$K$20,0),MATCH('A.일산테크노밸리(859991)_수정'!CZ$44,고양시_재차인원!$K$4:$O$4,0))</f>
        <v>6.1643403626962384E-2</v>
      </c>
      <c r="DA52" s="267">
        <f>INDEX($M$43:$Z$56,MATCH($CW52,$L$43:$L$56,0),MATCH(DA$44,$M$44:$Z$44,0))/INDEX(고양시_재차인원!$K$4:$O$20,MATCH("경기도",고양시_재차인원!$K$4:$K$20,0),MATCH('A.일산테크노밸리(859991)_수정'!DA$44,고양시_재차인원!$K$4:$O$4,0))</f>
        <v>1.2852841829902029</v>
      </c>
      <c r="DB52" s="268">
        <f>INDEX($AA$43:$AN$56,MATCH($CW52,$L$43:$L$56,0),MATCH(DB$44,$AA$44:$AN$44,0))/INDEX(고양시_재차인원!$D$4:$H$35,MATCH("고양시",고양시_재차인원!$B$4:$B$35,0),MATCH('A.일산테크노밸리(859991)_수정'!$DB$43,고양시_재차인원!$D$4:$H$4,0))</f>
        <v>112.90860097212128</v>
      </c>
      <c r="DC52" s="267">
        <f>INDEX($AA$43:$AN$56,MATCH($CW52,$L$43:$L$56,0),MATCH(DC$44,$AA$44:$AN$44,0))/INDEX(고양시_재차인원!$K$4:$O$20,MATCH("경기도",고양시_재차인원!$K$4:$K$20,0),MATCH('A.일산테크노밸리(859991)_수정'!DC$44,고양시_재차인원!$K$4:$O$4,0))</f>
        <v>0</v>
      </c>
      <c r="DD52" s="267">
        <f>INDEX($AA$43:$AN$56,MATCH($CW52,$L$43:$L$56,0),MATCH(DD$44,$AA$44:$AN$44,0))/INDEX(고양시_재차인원!$K$4:$O$20,MATCH("경기도",고양시_재차인원!$K$4:$K$20,0),MATCH('A.일산테크노밸리(859991)_수정'!DD$44,고양시_재차인원!$K$4:$O$4,0))</f>
        <v>0.6000462942354462</v>
      </c>
      <c r="DE52" s="267">
        <f>INDEX($AA$43:$AN$56,MATCH($CW52,$L$43:$L$56,0),MATCH(DE$44,$AA$44:$AN$44,0))/INDEX(고양시_재차인원!$K$4:$O$20,MATCH("경기도",고양시_재차인원!$K$4:$K$20,0),MATCH('A.일산테크노밸리(859991)_수정'!DE$44,고양시_재차인원!$K$4:$O$4,0))</f>
        <v>15.289662372988097</v>
      </c>
      <c r="DF52" s="268">
        <f>INDEX($AO$43:$BB$56,MATCH($CW52,$L$43:$L$56,0),MATCH(DF$44,$AO$44:$BB$44,0))/INDEX(고양시_재차인원!$D$4:$H$35,MATCH("고양시",고양시_재차인원!$B$4:$B$35,0),MATCH('A.일산테크노밸리(859991)_수정'!$DF$43,고양시_재차인원!$D$4:$H$4,0))</f>
        <v>12.403421179928484</v>
      </c>
      <c r="DG52" s="267">
        <f>INDEX($AO$43:$BB$56,MATCH($CW52,$L$43:$L$56,0),MATCH(DG$44,$AO$44:$BB$44,0))/INDEX(고양시_재차인원!$K$4:$O$20,MATCH("경기도",고양시_재차인원!$K$4:$K$20,0),MATCH('A.일산테크노밸리(859991)_수정'!DG$44,고양시_재차인원!$K$4:$O$4,0))</f>
        <v>5.3500243413639233E-4</v>
      </c>
      <c r="DH52" s="267">
        <f>INDEX($AO$43:$BB$56,MATCH($CW52,$L$43:$L$56,0),MATCH(DH$44,$AO$44:$BB$44,0))/INDEX(고양시_재차인원!$K$4:$O$20,MATCH("경기도",고양시_재차인원!$K$4:$K$20,0),MATCH('A.일산테크노밸리(859991)_수정'!DH$44,고양시_재차인원!$K$4:$O$4,0))</f>
        <v>2.1170810607968674E-2</v>
      </c>
      <c r="DI52" s="267">
        <f>INDEX($AO$43:$BB$56,MATCH($CW52,$L$43:$L$56,0),MATCH(DI$44,$AO$44:$BB$44,0))/INDEX(고양시_재차인원!$K$4:$O$20,MATCH("경기도",고양시_재차인원!$K$4:$K$20,0),MATCH('A.일산테크노밸리(859991)_수정'!DI$44,고양시_재차인원!$K$4:$O$4,0))</f>
        <v>0.37406605905624929</v>
      </c>
      <c r="DJ52" s="268">
        <f>INDEX($BC$43:$BP$56,MATCH($CW52,$L$43:$L$56,0),MATCH(DJ$44,$BC$44:$BP$44,0))/INDEX(고양시_재차인원!$D$4:$H$35,MATCH("고양시",고양시_재차인원!$B$4:$B$35,0),MATCH('A.일산테크노밸리(859991)_수정'!$DJ$43,고양시_재차인원!$D$4:$H$4,0))</f>
        <v>3.6333834203797842E-2</v>
      </c>
      <c r="DK52" s="267">
        <f>INDEX($BC$43:$BP$56,MATCH($CW52,$L$43:$L$56,0),MATCH(DK$44,$BC$44:$BP$44,0))/INDEX(고양시_재차인원!$K$4:$O$20,MATCH("경기도",고양시_재차인원!$K$4:$K$20,0),MATCH('A.일산테크노밸리(859991)_수정'!DK$44,고양시_재차인원!$K$4:$O$4,0))</f>
        <v>1.1005764359377163E-4</v>
      </c>
      <c r="DL52" s="267">
        <f>INDEX($BC$43:$BP$56,MATCH($CW52,$L$43:$L$56,0),MATCH(DL$44,$BC$44:$BP$44,0))/INDEX(고양시_재차인원!$K$4:$O$20,MATCH("경기도",고양시_재차인원!$K$4:$K$20,0),MATCH('A.일산테크노밸리(859991)_수정'!DL$44,고양시_재차인원!$K$4:$O$4,0))</f>
        <v>7.337176239584776E-5</v>
      </c>
      <c r="DM52" s="267">
        <f>INDEX($BC$43:$BP$56,MATCH($CW52,$L$43:$L$56,0),MATCH(DM$44,$BC$44:$BP$44,0))/INDEX(고양시_재차인원!$K$4:$O$20,MATCH("경기도",고양시_재차인원!$K$4:$K$20,0),MATCH('A.일산테크노밸리(859991)_수정'!DM$44,고양시_재차인원!$K$4:$O$4,0))</f>
        <v>3.023358775755381E-4</v>
      </c>
      <c r="DN52" s="268">
        <f>INDEX($BQ$43:$CD$56,MATCH($CW52,$L$43:$L$56,0),MATCH(DN$44,$BQ$44:$CD$44,0))/INDEX(고양시_재차인원!$D$4:$H$35,MATCH("고양시",고양시_재차인원!$B$4:$B$35,0),MATCH('A.일산테크노밸리(859991)_수정'!$DN$43,고양시_재차인원!$D$4:$H$4,0))</f>
        <v>8.2226771048218211E-2</v>
      </c>
      <c r="DO52" s="267">
        <f>INDEX($BQ$43:$CD$56,MATCH($CW52,$L$43:$L$56,0),MATCH(DO$44,$BQ$44:$CD$44,0))/INDEX(고양시_재차인원!$K$4:$O$20,MATCH("경기도",고양시_재차인원!$K$4:$K$20,0),MATCH('A.일산테크노밸리(859991)_수정'!DO$44,고양시_재차인원!$K$4:$O$4,0))</f>
        <v>3.2827300284733838E-4</v>
      </c>
      <c r="DP52" s="267">
        <f>INDEX($BQ$43:$CD$56,MATCH($CW52,$L$43:$L$56,0),MATCH(DP$44,$BQ$44:$CD$44,0))/INDEX(고양시_재차인원!$K$4:$O$20,MATCH("경기도",고양시_재차인원!$K$4:$K$20,0),MATCH('A.일산테크노밸리(859991)_수정'!DP$44,고양시_재차인원!$K$4:$O$4,0))</f>
        <v>1.0963965944829708E-3</v>
      </c>
      <c r="DQ52" s="267">
        <f>INDEX($BQ$43:$CD$56,MATCH($CW52,$L$43:$L$56,0),MATCH(DQ$44,$BQ$44:$CD$44,0))/INDEX(고양시_재차인원!$K$4:$O$20,MATCH("경기도",고양시_재차인원!$K$4:$K$20,0),MATCH('A.일산테크노밸리(859991)_수정'!DQ$44,고양시_재차인원!$K$4:$O$4,0))</f>
        <v>7.8899055770809891E-5</v>
      </c>
      <c r="DR52" s="269">
        <f t="shared" si="26"/>
        <v>152.23710259204745</v>
      </c>
      <c r="DS52" s="270">
        <f t="shared" si="20"/>
        <v>1.1950719425449928E-3</v>
      </c>
      <c r="DT52" s="270">
        <f t="shared" si="21"/>
        <v>0.68403027682725615</v>
      </c>
      <c r="DU52" s="270">
        <f t="shared" si="22"/>
        <v>16.949393849967898</v>
      </c>
      <c r="DW52" s="278"/>
      <c r="DX52" s="278" t="s">
        <v>595</v>
      </c>
      <c r="DY52" s="281">
        <f>DR54+DU54</f>
        <v>301.60533924548815</v>
      </c>
      <c r="DZ52" s="281">
        <f>DS54+DT54</f>
        <v>1.2215373456010667</v>
      </c>
      <c r="EC52" s="412" t="s">
        <v>15</v>
      </c>
      <c r="ED52" s="412" t="s">
        <v>572</v>
      </c>
      <c r="EE52" s="412">
        <v>10028.5581</v>
      </c>
      <c r="EF52" s="412">
        <v>4.6576536899844041E-2</v>
      </c>
      <c r="EG52" s="413">
        <v>859008</v>
      </c>
      <c r="EH52" s="414">
        <f t="shared" si="29"/>
        <v>362.84996800494878</v>
      </c>
      <c r="EI52" s="415">
        <f t="shared" si="30"/>
        <v>1.4695853457933366</v>
      </c>
      <c r="EJ52" s="402">
        <v>0</v>
      </c>
      <c r="EM52" s="278" t="s">
        <v>15</v>
      </c>
      <c r="EN52" s="278" t="s">
        <v>572</v>
      </c>
      <c r="EO52" s="278">
        <v>10028.5581</v>
      </c>
      <c r="EP52" s="278">
        <v>4.6576536899844041E-2</v>
      </c>
      <c r="EQ52" s="289">
        <v>859008</v>
      </c>
      <c r="ER52" s="290">
        <f t="shared" si="31"/>
        <v>362.84996800494878</v>
      </c>
      <c r="ES52" s="291">
        <f t="shared" si="23"/>
        <v>1.4695853457933366</v>
      </c>
      <c r="ET52" s="402">
        <v>0</v>
      </c>
      <c r="EV52" s="34"/>
      <c r="EW52" s="34"/>
      <c r="EX52" s="34"/>
      <c r="EY52" s="34"/>
      <c r="EZ52" s="378"/>
      <c r="FA52" s="401"/>
      <c r="FB52" s="402"/>
      <c r="FC52" s="402"/>
    </row>
    <row r="53" spans="1:159" ht="27" customHeight="1">
      <c r="A53" s="205" t="s">
        <v>491</v>
      </c>
      <c r="B53" s="203" t="s">
        <v>23</v>
      </c>
      <c r="C53" s="400">
        <f>'A.일산테크노밸리(859991)_수정'!$P36*KTDB_TripDistribution_2040!L$12 * (1 + KTDB_발생량도착량_증가율!$D$7*5) * (1 + KTDB_발생량도착량_증가율!$E$7*5) * (1 + KTDB_발생량도착량_증가율!$F$7*5)</f>
        <v>212.58677159898332</v>
      </c>
      <c r="D53" s="400">
        <f>'A.일산테크노밸리(859991)_수정'!$P36*KTDB_TripDistribution_2040!M$12 * (1 + KTDB_발생량도착량_증가율!$D$7*5) * (1 + KTDB_발생량도착량_증가율!$E$7*5) * (1 + KTDB_발생량도착량_증가율!$F$7*5)</f>
        <v>1653.1030852723529</v>
      </c>
      <c r="E53" s="400">
        <f>'A.일산테크노밸리(859991)_수정'!$P36*KTDB_TripDistribution_2040!N$12 * (1 + KTDB_발생량도착량_증가율!$D$7*5) * (1 + KTDB_발생량도착량_증가율!$E$7*5) * (1 + KTDB_발생량도착량_증가율!$F$7*5)</f>
        <v>73.274377965843541</v>
      </c>
      <c r="F53" s="400">
        <f>'A.일산테크노밸리(859991)_수정'!$P36*KTDB_TripDistribution_2040!O$12 * (1 + KTDB_발생량도착량_증가율!$D$7*5) * (1 + KTDB_발생량도착량_증가율!$E$7*5) * (1 + KTDB_발생량도착량_증가율!$F$7*5)</f>
        <v>0.19871017753448997</v>
      </c>
      <c r="G53" s="400">
        <f>'A.일산테크노밸리(859991)_수정'!$P36*KTDB_TripDistribution_2040!P$12 * (1 + KTDB_발생량도착량_증가율!$D$7*5) * (1 + KTDB_발생량도착량_증가율!$E$7*5) * (1 + KTDB_발생량도착량_증가율!$F$7*5)</f>
        <v>0.56301216968105938</v>
      </c>
      <c r="H53" s="400">
        <f>'A.일산테크노밸리(859991)_수정'!$P36*KTDB_TripDistribution_2040!Q$12 * (1 + KTDB_발생량도착량_증가율!$D$7*5) * (1 + KTDB_발생량도착량_증가율!$E$7*5) * (1 + KTDB_발생량도착량_증가율!$F$7*5)</f>
        <v>1939.7259571843954</v>
      </c>
      <c r="J53" s="230">
        <f t="shared" si="6"/>
        <v>1939.7259571843954</v>
      </c>
      <c r="K53" s="206"/>
      <c r="L53" s="210" t="s">
        <v>23</v>
      </c>
      <c r="M53" s="213">
        <f>INDEX($A$44:$H$56,MATCH($L53,$B$44:$B$56,0),MATCH($M$43,$A$44:$H$44,0))*고양시_Modal_split!C$3 * 0.01</f>
        <v>0.5952429604771533</v>
      </c>
      <c r="N53" s="207">
        <f>INDEX($A$44:$H$56,MATCH($L53,$B$44:$B$56,0),MATCH($M$43,$A$44:$H$44,0))*고양시_Modal_split!D$3 * 0.01</f>
        <v>99.979558683001855</v>
      </c>
      <c r="O53" s="207">
        <f>INDEX($A$44:$H$56,MATCH($L53,$B$44:$B$56,0),MATCH($M$43,$A$44:$H$44,0))*고양시_Modal_split!E$3 * 0.01</f>
        <v>12.096187303982148</v>
      </c>
      <c r="P53" s="207">
        <f>INDEX($A$44:$H$56,MATCH($L53,$B$44:$B$56,0),MATCH($M$43,$A$44:$H$44,0))*고양시_Modal_split!F$3 * 0.01</f>
        <v>19.494206955626773</v>
      </c>
      <c r="Q53" s="207">
        <f>INDEX($A$44:$H$56,MATCH($L53,$B$44:$B$56,0),MATCH($M$43,$A$44:$H$44,0))*고양시_Modal_split!G$3 * 0.01</f>
        <v>1.9557982987106466</v>
      </c>
      <c r="R53" s="207">
        <f>INDEX($A$44:$H$56,MATCH($L53,$B$44:$B$56,0),MATCH($M$43,$A$44:$H$44,0))*고양시_Modal_split!H$3 * 0.01</f>
        <v>2.1258677159898331E-2</v>
      </c>
      <c r="S53" s="207">
        <f>INDEX($A$44:$H$56,MATCH($L53,$B$44:$B$56,0),MATCH($M$43,$A$44:$H$44,0))*고양시_Modal_split!I$3 * 0.01</f>
        <v>5.9099122504517361</v>
      </c>
      <c r="T53" s="207">
        <f>INDEX($A$44:$H$56,MATCH($L53,$B$44:$B$56,0),MATCH($M$43,$A$44:$H$44,0))*고양시_Modal_split!J$3 * 0.01</f>
        <v>64.711413274730518</v>
      </c>
      <c r="U53" s="207">
        <f>INDEX($A$44:$H$56,MATCH($L53,$B$44:$B$56,0),MATCH($M$43,$A$44:$H$44,0))*고양시_Modal_split!K$3 * 0.01</f>
        <v>0.31888015739847497</v>
      </c>
      <c r="V53" s="207">
        <f>INDEX($A$44:$H$56,MATCH($L53,$B$44:$B$56,0),MATCH($M$43,$A$44:$H$44,0))*고양시_Modal_split!L$3 * 0.01</f>
        <v>6.4201205022892962</v>
      </c>
      <c r="W53" s="207">
        <f>INDEX($A$44:$H$56,MATCH($L53,$B$44:$B$56,0),MATCH($M$43,$A$44:$H$44,0))*고양시_Modal_split!M$3 * 0.01</f>
        <v>0.48894957467766165</v>
      </c>
      <c r="X53" s="207">
        <f>INDEX($A$44:$H$56,MATCH($L53,$B$44:$B$56,0),MATCH($M$43,$A$44:$H$44,0))*고양시_Modal_split!N$3 * 0.01</f>
        <v>0.21258677159898334</v>
      </c>
      <c r="Y53" s="207">
        <f>INDEX($A$44:$H$56,MATCH($L53,$B$44:$B$56,0),MATCH($M$43,$A$44:$H$44,0))*고양시_Modal_split!O$3 * 0.01</f>
        <v>0.38265618887816999</v>
      </c>
      <c r="Z53" s="214">
        <f>INDEX($A$44:$H$56,MATCH($L53,$B$44:$B$56,0),MATCH($M$43,$A$44:$H$44,0))*고양시_Modal_split!P$3 * 0.01</f>
        <v>212.58677159898332</v>
      </c>
      <c r="AA53" s="213">
        <f>INDEX($A$44:$H$56,MATCH($L53,$B$44:$B$56,0),MATCH($AA$43,$A$44:$H$44,0))*고양시_Modal_split!C$4 * 0.01</f>
        <v>503.20457915690423</v>
      </c>
      <c r="AB53" s="207">
        <f>INDEX($A$44:$H$56,MATCH($L53,$B$44:$B$56,0),MATCH($AA$43,$A$44:$H$44,0))*고양시_Modal_split!D$4 * 0.01</f>
        <v>530.15015944684365</v>
      </c>
      <c r="AC53" s="207">
        <f>INDEX($A$44:$H$56,MATCH($L53,$B$44:$B$56,0),MATCH($AA$43,$A$44:$H$44,0))*고양시_Modal_split!E$4 * 0.01</f>
        <v>128.44610972566184</v>
      </c>
      <c r="AD53" s="207">
        <f>INDEX($A$44:$H$56,MATCH($L53,$B$44:$B$56,0),MATCH($AA$43,$A$44:$H$44,0))*고양시_Modal_split!F$4 * 0.01</f>
        <v>15.704479310087352</v>
      </c>
      <c r="AE53" s="207">
        <f>INDEX($A$44:$H$56,MATCH($L53,$B$44:$B$56,0),MATCH($AA$43,$A$44:$H$44,0))*고양시_Modal_split!G$4 * 0.01</f>
        <v>193.57837128539251</v>
      </c>
      <c r="AF53" s="207">
        <f>INDEX($A$44:$H$56,MATCH($L53,$B$44:$B$56,0),MATCH($AA$43,$A$44:$H$44,0))*고양시_Modal_split!H$4 * 0.01</f>
        <v>0</v>
      </c>
      <c r="AG53" s="207">
        <f>INDEX($A$44:$H$56,MATCH($L53,$B$44:$B$56,0),MATCH($AA$43,$A$44:$H$44,0))*고양시_Modal_split!I$4 * 0.01</f>
        <v>57.52798736747787</v>
      </c>
      <c r="AH53" s="207">
        <f>INDEX($A$44:$H$56,MATCH($L53,$B$44:$B$56,0),MATCH($AA$43,$A$44:$H$44,0))*고양시_Modal_split!J$4 * 0.01</f>
        <v>77.861155316327824</v>
      </c>
      <c r="AI53" s="207">
        <f>INDEX($A$44:$H$56,MATCH($L53,$B$44:$B$56,0),MATCH($AA$43,$A$44:$H$44,0))*고양시_Modal_split!K$4 * 0.01</f>
        <v>0</v>
      </c>
      <c r="AJ53" s="207">
        <f>INDEX($A$44:$H$56,MATCH($L53,$B$44:$B$56,0),MATCH($AA$43,$A$44:$H$44,0))*고양시_Modal_split!L$4 * 0.01</f>
        <v>76.3733625395827</v>
      </c>
      <c r="AK53" s="207">
        <f>INDEX($A$44:$H$56,MATCH($L53,$B$44:$B$56,0),MATCH($AA$43,$A$44:$H$44,0))*고양시_Modal_split!M$4 * 0.01</f>
        <v>11.075790671324764</v>
      </c>
      <c r="AL53" s="207">
        <f>INDEX($A$44:$H$56,MATCH($L53,$B$44:$B$56,0),MATCH($AA$43,$A$44:$H$44,0))*고양시_Modal_split!N$4 * 0.01</f>
        <v>41.327577131808823</v>
      </c>
      <c r="AM53" s="207">
        <f>INDEX($A$44:$H$56,MATCH($L53,$B$44:$B$56,0),MATCH($AA$43,$A$44:$H$44,0))*고양시_Modal_split!O$4 * 0.01</f>
        <v>17.853513320941413</v>
      </c>
      <c r="AN53" s="214">
        <f>INDEX($A$44:$H$56,MATCH($L53,$B$44:$B$56,0),MATCH($AA$43,$A$44:$H$44,0))*고양시_Modal_split!P$4 * 0.01</f>
        <v>1653.1030852723529</v>
      </c>
      <c r="AO53" s="213">
        <f>INDEX($A$44:$H$56,MATCH($L53,$B$44:$B$56,0),MATCH($AO$43,$A$44:$H$44,0))*고양시_Modal_split!C$5 * 0.01</f>
        <v>4.3964626779506126E-2</v>
      </c>
      <c r="AP53" s="207">
        <f>INDEX($A$44:$H$56,MATCH($L53,$B$44:$B$56,0),MATCH($AO$43,$A$44:$H$44,0))*고양시_Modal_split!D$5 * 0.01</f>
        <v>53.695464173370148</v>
      </c>
      <c r="AQ53" s="207">
        <f>INDEX($A$44:$H$56,MATCH($L53,$B$44:$B$56,0),MATCH($AO$43,$A$44:$H$44,0))*고양시_Modal_split!E$5 * 0.01</f>
        <v>7.2175262296355891</v>
      </c>
      <c r="AR53" s="207">
        <f>INDEX($A$44:$H$56,MATCH($L53,$B$44:$B$56,0),MATCH($AO$43,$A$44:$H$44,0))*고양시_Modal_split!F$5 * 0.01</f>
        <v>1.5387619372827144</v>
      </c>
      <c r="AS53" s="207">
        <f>INDEX($A$44:$H$56,MATCH($L53,$B$44:$B$56,0),MATCH($AO$43,$A$44:$H$44,0))*고양시_Modal_split!G$5 * 0.01</f>
        <v>0.47628345677798301</v>
      </c>
      <c r="AT53" s="207">
        <f>INDEX($A$44:$H$56,MATCH($L53,$B$44:$B$56,0),MATCH($AO$43,$A$44:$H$44,0))*고양시_Modal_split!H$5 * 0.01</f>
        <v>5.1292064576090479E-2</v>
      </c>
      <c r="AU53" s="207">
        <f>INDEX($A$44:$H$56,MATCH($L53,$B$44:$B$56,0),MATCH($AO$43,$A$44:$H$44,0))*고양시_Modal_split!I$5 * 0.01</f>
        <v>2.029700269653866</v>
      </c>
      <c r="AV53" s="207">
        <f>INDEX($A$44:$H$56,MATCH($L53,$B$44:$B$56,0),MATCH($AO$43,$A$44:$H$44,0))*고양시_Modal_split!J$5 * 0.01</f>
        <v>4.5943034984583901</v>
      </c>
      <c r="AW53" s="207">
        <f>INDEX($A$44:$H$56,MATCH($L53,$B$44:$B$56,0),MATCH($AO$43,$A$44:$H$44,0))*고양시_Modal_split!K$5 * 0.01</f>
        <v>1.4654875593168708E-2</v>
      </c>
      <c r="AX53" s="207">
        <f>INDEX($A$44:$H$56,MATCH($L53,$B$44:$B$56,0),MATCH($AO$43,$A$44:$H$44,0))*고양시_Modal_split!L$5 * 0.01</f>
        <v>1.8684966381290102</v>
      </c>
      <c r="AY53" s="207">
        <f>INDEX($A$44:$H$56,MATCH($L53,$B$44:$B$56,0),MATCH($AO$43,$A$44:$H$44,0))*고양시_Modal_split!M$5 * 0.01</f>
        <v>0.49093833237115181</v>
      </c>
      <c r="AZ53" s="207">
        <f>INDEX($A$44:$H$56,MATCH($L53,$B$44:$B$56,0),MATCH($AO$43,$A$44:$H$44,0))*고양시_Modal_split!N$5 * 0.01</f>
        <v>0.12456644254193401</v>
      </c>
      <c r="BA53" s="207">
        <f>INDEX($A$44:$H$56,MATCH($L53,$B$44:$B$56,0),MATCH($AO$43,$A$44:$H$44,0))*고양시_Modal_split!O$5 * 0.01</f>
        <v>1.1284254206739905</v>
      </c>
      <c r="BB53" s="214">
        <f>INDEX($A$44:$H$56,MATCH($L53,$B$44:$B$56,0),MATCH($AO$43,$A$44:$H$44,0))*고양시_Modal_split!P$5 * 0.01</f>
        <v>73.274377965843527</v>
      </c>
      <c r="BC53" s="213">
        <f>INDEX($A$44:$H$56,MATCH($L53,$B$44:$B$56,0),MATCH($BC$43,$A$44:$H$44,0))*고양시_Modal_split!C$6 * 0.01</f>
        <v>0</v>
      </c>
      <c r="BD53" s="207">
        <f>INDEX($A$44:$H$56,MATCH($L53,$B$44:$B$56,0),MATCH($BC$43,$A$44:$H$44,0))*고양시_Modal_split!D$6 * 0.01</f>
        <v>0.16455189801631112</v>
      </c>
      <c r="BE53" s="207">
        <f>INDEX($A$44:$H$56,MATCH($L53,$B$44:$B$56,0),MATCH($BC$43,$A$44:$H$44,0))*고양시_Modal_split!E$6 * 0.01</f>
        <v>8.5445376339830684E-4</v>
      </c>
      <c r="BF53" s="207">
        <f>INDEX($A$44:$H$56,MATCH($L53,$B$44:$B$56,0),MATCH($BC$43,$A$44:$H$44,0))*고양시_Modal_split!F$6 * 0.01</f>
        <v>2.4242641659207777E-3</v>
      </c>
      <c r="BG53" s="207">
        <f>INDEX($A$44:$H$56,MATCH($L53,$B$44:$B$56,0),MATCH($BC$43,$A$44:$H$44,0))*고양시_Modal_split!G$6 * 0.01</f>
        <v>0</v>
      </c>
      <c r="BH53" s="207">
        <f>INDEX($A$44:$H$56,MATCH($L53,$B$44:$B$56,0),MATCH($BC$43,$A$44:$H$44,0))*고양시_Modal_split!H$6 * 0.01</f>
        <v>1.0551510427081419E-2</v>
      </c>
      <c r="BI53" s="207">
        <f>INDEX($A$44:$H$56,MATCH($L53,$B$44:$B$56,0),MATCH($BC$43,$A$44:$H$44,0))*고양시_Modal_split!I$6 * 0.01</f>
        <v>7.0343402847209448E-3</v>
      </c>
      <c r="BJ53" s="207">
        <f>INDEX($A$44:$H$56,MATCH($L53,$B$44:$B$56,0),MATCH($BC$43,$A$44:$H$44,0))*고양시_Modal_split!J$6 * 0.01</f>
        <v>9.8162827702038043E-3</v>
      </c>
      <c r="BK53" s="207">
        <f>INDEX($A$44:$H$56,MATCH($L53,$B$44:$B$56,0),MATCH($BC$43,$A$44:$H$44,0))*고양시_Modal_split!K$6 * 0.01</f>
        <v>0</v>
      </c>
      <c r="BL53" s="207">
        <f>INDEX($A$44:$H$56,MATCH($L53,$B$44:$B$56,0),MATCH($BC$43,$A$44:$H$44,0))*고양시_Modal_split!L$6 * 0.01</f>
        <v>1.5101973492621238E-3</v>
      </c>
      <c r="BM53" s="207">
        <f>INDEX($A$44:$H$56,MATCH($L53,$B$44:$B$56,0),MATCH($BC$43,$A$44:$H$44,0))*고양시_Modal_split!M$6 * 0.01</f>
        <v>1.8082626155638587E-3</v>
      </c>
      <c r="BN53" s="207">
        <f>INDEX($A$44:$H$56,MATCH($L53,$B$44:$B$56,0),MATCH($BC$43,$A$44:$H$44,0))*고양시_Modal_split!N$6 * 0.01</f>
        <v>0</v>
      </c>
      <c r="BO53" s="207">
        <f>INDEX($A$44:$H$56,MATCH($L53,$B$44:$B$56,0),MATCH($BC$43,$A$44:$H$44,0))*고양시_Modal_split!O$6 * 0.01</f>
        <v>1.5896814202759197E-4</v>
      </c>
      <c r="BP53" s="214">
        <f>INDEX($A$44:$H$56,MATCH($L53,$B$44:$B$56,0),MATCH($BC$43,$A$44:$H$44,0))*고양시_Modal_split!P$6 * 0.01</f>
        <v>0.19871017753448997</v>
      </c>
      <c r="BQ53" s="213">
        <f>INDEX($A$44:$H$56,MATCH($L53,$B$44:$B$56,0),MATCH($BQ$43,$A$44:$H$44,0))*고양시_Modal_split!C$7 * 0.01</f>
        <v>0</v>
      </c>
      <c r="BR53" s="207">
        <f>INDEX($A$44:$H$56,MATCH($L53,$B$44:$B$56,0),MATCH($BQ$43,$A$44:$H$44,0))*고양시_Modal_split!D$7 * 0.01</f>
        <v>0.3450138575805532</v>
      </c>
      <c r="BS53" s="207">
        <f>INDEX($A$44:$H$56,MATCH($L53,$B$44:$B$56,0),MATCH($BQ$43,$A$44:$H$44,0))*고양시_Modal_split!E$7 * 0.01</f>
        <v>1.6834063873463673E-2</v>
      </c>
      <c r="BT53" s="207">
        <f>INDEX($A$44:$H$56,MATCH($L53,$B$44:$B$56,0),MATCH($BQ$43,$A$44:$H$44,0))*고양시_Modal_split!F$7 * 0.01</f>
        <v>5.6301216968105937E-3</v>
      </c>
      <c r="BU53" s="207">
        <f>INDEX($A$44:$H$56,MATCH($L53,$B$44:$B$56,0),MATCH($BQ$43,$A$44:$H$44,0))*고양시_Modal_split!G$7 * 0.01</f>
        <v>2.3646511126604493E-3</v>
      </c>
      <c r="BV53" s="207">
        <f>INDEX($A$44:$H$56,MATCH($L53,$B$44:$B$56,0),MATCH($BQ$43,$A$44:$H$44,0))*고양시_Modal_split!H$7 * 0.01</f>
        <v>3.1472380285171221E-2</v>
      </c>
      <c r="BW53" s="207">
        <f>INDEX($A$44:$H$56,MATCH($L53,$B$44:$B$56,0),MATCH($BQ$43,$A$44:$H$44,0))*고양시_Modal_split!I$7 * 0.01</f>
        <v>0.10511437207945379</v>
      </c>
      <c r="BX53" s="207">
        <f>INDEX($A$44:$H$56,MATCH($L53,$B$44:$B$56,0),MATCH($BQ$43,$A$44:$H$44,0))*고양시_Modal_split!J$7 * 0.01</f>
        <v>1.1260243393621188E-4</v>
      </c>
      <c r="BY53" s="207">
        <f>INDEX($A$44:$H$56,MATCH($L53,$B$44:$B$56,0),MATCH($BQ$43,$A$44:$H$44,0))*고양시_Modal_split!K$7 * 0.01</f>
        <v>4.3351937065441576E-2</v>
      </c>
      <c r="BZ53" s="207">
        <f>INDEX($A$44:$H$56,MATCH($L53,$B$44:$B$56,0),MATCH($BQ$43,$A$44:$H$44,0))*고양시_Modal_split!L$7 * 0.01</f>
        <v>3.9410851877674151E-4</v>
      </c>
      <c r="CA53" s="207">
        <f>INDEX($A$44:$H$56,MATCH($L53,$B$44:$B$56,0),MATCH($BQ$43,$A$44:$H$44,0))*고양시_Modal_split!M$7 * 0.01</f>
        <v>1.0528327573035812E-2</v>
      </c>
      <c r="CB53" s="207">
        <f>INDEX($A$44:$H$56,MATCH($L53,$B$44:$B$56,0),MATCH($BQ$43,$A$44:$H$44,0))*고양시_Modal_split!N$7 * 0.01</f>
        <v>2.1957474617561312E-3</v>
      </c>
      <c r="CC53" s="207">
        <f>INDEX($A$44:$H$56,MATCH($L53,$B$44:$B$56,0),MATCH($BQ$43,$A$44:$H$44,0))*고양시_Modal_split!O$7 * 0.01</f>
        <v>0</v>
      </c>
      <c r="CD53" s="214">
        <f>INDEX($A$44:$H$56,MATCH($L53,$B$44:$B$56,0),MATCH($BQ$43,$A$44:$H$44,0))*고양시_Modal_split!P$7 * 0.01</f>
        <v>0.56301216968105938</v>
      </c>
      <c r="CE53" s="218">
        <f t="shared" si="24"/>
        <v>503.84378674416087</v>
      </c>
      <c r="CF53" s="208">
        <f t="shared" si="7"/>
        <v>684.33474805881247</v>
      </c>
      <c r="CG53" s="208">
        <f t="shared" si="8"/>
        <v>147.77751177691641</v>
      </c>
      <c r="CH53" s="208">
        <f t="shared" si="9"/>
        <v>36.745502588859573</v>
      </c>
      <c r="CI53" s="208">
        <f t="shared" si="10"/>
        <v>196.0128176919938</v>
      </c>
      <c r="CJ53" s="208">
        <f t="shared" si="11"/>
        <v>0.11457463244824145</v>
      </c>
      <c r="CK53" s="208">
        <f t="shared" si="12"/>
        <v>65.579748599947649</v>
      </c>
      <c r="CL53" s="208">
        <f t="shared" si="13"/>
        <v>147.17680097472089</v>
      </c>
      <c r="CM53" s="208">
        <f t="shared" si="14"/>
        <v>0.37688697005708527</v>
      </c>
      <c r="CN53" s="208">
        <f t="shared" si="15"/>
        <v>84.663883985869049</v>
      </c>
      <c r="CO53" s="208">
        <f t="shared" si="16"/>
        <v>12.068015168562177</v>
      </c>
      <c r="CP53" s="208">
        <f t="shared" si="17"/>
        <v>41.666926093411497</v>
      </c>
      <c r="CQ53" s="208">
        <f t="shared" si="18"/>
        <v>19.364753898635602</v>
      </c>
      <c r="CR53" s="219">
        <f t="shared" si="19"/>
        <v>1939.7259571843954</v>
      </c>
      <c r="CS53" s="225">
        <f t="shared" si="25"/>
        <v>0</v>
      </c>
      <c r="CV53" s="265" t="s">
        <v>433</v>
      </c>
      <c r="CW53" s="271" t="s">
        <v>23</v>
      </c>
      <c r="CX53" s="267">
        <f>INDEX($M$43:$Z$56,MATCH($CW53,$L$43:$L$56,0),MATCH(CX$44,$M$44:$Z$44,0))/INDEX(고양시_재차인원!$D$4:$H$35,MATCH("고양시",고양시_재차인원!$B$4:$B$35,0),MATCH('A.일산테크노밸리(859991)_수정'!$CX$43,고양시_재차인원!$D$4:$H$4,0))</f>
        <v>89.267463109823083</v>
      </c>
      <c r="CY53" s="267">
        <f>INDEX($M$43:$Z$56,MATCH($CW53,$L$43:$L$56,0),MATCH(CY$44,$M$44:$Z$44,0))/INDEX(고양시_재차인원!$K$4:$O$20,MATCH("경기도",고양시_재차인원!$K$4:$K$20,0),MATCH('A.일산테크노밸리(859991)_수정'!CY$44,고양시_재차인원!$K$4:$O$4,0))</f>
        <v>7.3840490308781982E-4</v>
      </c>
      <c r="CZ53" s="267">
        <f>INDEX($M$43:$Z$56,MATCH($CW53,$L$43:$L$56,0),MATCH(CZ$44,$M$44:$Z$44,0))/INDEX(고양시_재차인원!$K$4:$O$20,MATCH("경기도",고양시_재차인원!$K$4:$K$20,0),MATCH('A.일산테크노밸리(859991)_수정'!CZ$44,고양시_재차인원!$K$4:$O$4,0))</f>
        <v>0.20527656305841391</v>
      </c>
      <c r="DA53" s="267">
        <f>INDEX($M$43:$Z$56,MATCH($CW53,$L$43:$L$56,0),MATCH(DA$44,$M$44:$Z$44,0))/INDEX(고양시_재차인원!$K$4:$O$20,MATCH("경기도",고양시_재차인원!$K$4:$K$20,0),MATCH('A.일산테크노밸리(859991)_수정'!DA$44,고양시_재차인원!$K$4:$O$4,0))</f>
        <v>4.2800803348595311</v>
      </c>
      <c r="DB53" s="268">
        <f>INDEX($AA$43:$AN$56,MATCH($CW53,$L$43:$L$56,0),MATCH(DB$44,$AA$44:$AN$44,0))/INDEX(고양시_재차인원!$D$4:$H$35,MATCH("고양시",고양시_재차인원!$B$4:$B$35,0),MATCH('A.일산테크노밸리(859991)_수정'!$DB$43,고양시_재차인원!$D$4:$H$4,0))</f>
        <v>375.9930208842863</v>
      </c>
      <c r="DC53" s="267">
        <f>INDEX($AA$43:$AN$56,MATCH($CW53,$L$43:$L$56,0),MATCH(DC$44,$AA$44:$AN$44,0))/INDEX(고양시_재차인원!$K$4:$O$20,MATCH("경기도",고양시_재차인원!$K$4:$K$20,0),MATCH('A.일산테크노밸리(859991)_수정'!DC$44,고양시_재차인원!$K$4:$O$4,0))</f>
        <v>0</v>
      </c>
      <c r="DD53" s="267">
        <f>INDEX($AA$43:$AN$56,MATCH($CW53,$L$43:$L$56,0),MATCH(DD$44,$AA$44:$AN$44,0))/INDEX(고양시_재차인원!$K$4:$O$20,MATCH("경기도",고양시_재차인원!$K$4:$K$20,0),MATCH('A.일산테크노밸리(859991)_수정'!DD$44,고양시_재차인원!$K$4:$O$4,0))</f>
        <v>1.9981933785160775</v>
      </c>
      <c r="DE53" s="267">
        <f>INDEX($AA$43:$AN$56,MATCH($CW53,$L$43:$L$56,0),MATCH(DE$44,$AA$44:$AN$44,0))/INDEX(고양시_재차인원!$K$4:$O$20,MATCH("경기도",고양시_재차인원!$K$4:$K$20,0),MATCH('A.일산테크노밸리(859991)_수정'!DE$44,고양시_재차인원!$K$4:$O$4,0))</f>
        <v>50.915575026388467</v>
      </c>
      <c r="DF53" s="268">
        <f>INDEX($AO$43:$BB$56,MATCH($CW53,$L$43:$L$56,0),MATCH(DF$44,$AO$44:$BB$44,0))/INDEX(고양시_재차인원!$D$4:$H$35,MATCH("고양시",고양시_재차인원!$B$4:$B$35,0),MATCH('A.일산테크노밸리(859991)_수정'!$DF$43,고양시_재차인원!$D$4:$H$4,0))</f>
        <v>41.304203210284726</v>
      </c>
      <c r="DG53" s="267">
        <f>INDEX($AO$43:$BB$56,MATCH($CW53,$L$43:$L$56,0),MATCH(DG$44,$AO$44:$BB$44,0))/INDEX(고양시_재차인원!$K$4:$O$20,MATCH("경기도",고양시_재차인원!$K$4:$K$20,0),MATCH('A.일산테크노밸리(859991)_수정'!DG$44,고양시_재차인원!$K$4:$O$4,0))</f>
        <v>1.7815930731535422E-3</v>
      </c>
      <c r="DH53" s="267">
        <f>INDEX($AO$43:$BB$56,MATCH($CW53,$L$43:$L$56,0),MATCH(DH$44,$AO$44:$BB$44,0))/INDEX(고양시_재차인원!$K$4:$O$20,MATCH("경기도",고양시_재차인원!$K$4:$K$20,0),MATCH('A.일산테크노밸리(859991)_수정'!DH$44,고양시_재차인원!$K$4:$O$4,0))</f>
        <v>7.050018303764731E-2</v>
      </c>
      <c r="DI53" s="267">
        <f>INDEX($AO$43:$BB$56,MATCH($CW53,$L$43:$L$56,0),MATCH(DI$44,$AO$44:$BB$44,0))/INDEX(고양시_재차인원!$K$4:$O$20,MATCH("경기도",고양시_재차인원!$K$4:$K$20,0),MATCH('A.일산테크노밸리(859991)_수정'!DI$44,고양시_재차인원!$K$4:$O$4,0))</f>
        <v>1.2456644254193401</v>
      </c>
      <c r="DJ53" s="268">
        <f>INDEX($BC$43:$BP$56,MATCH($CW53,$L$43:$L$56,0),MATCH(DJ$44,$BC$44:$BP$44,0))/INDEX(고양시_재차인원!$D$4:$H$35,MATCH("고양시",고양시_재차인원!$B$4:$B$35,0),MATCH('A.일산테크노밸리(859991)_수정'!$DJ$43,고양시_재차인원!$D$4:$H$4,0))</f>
        <v>0.12099404265905228</v>
      </c>
      <c r="DK53" s="267">
        <f>INDEX($BC$43:$BP$56,MATCH($CW53,$L$43:$L$56,0),MATCH(DK$44,$BC$44:$BP$44,0))/INDEX(고양시_재차인원!$K$4:$O$20,MATCH("경기도",고양시_재차인원!$K$4:$K$20,0),MATCH('A.일산테크노밸리(859991)_수정'!DK$44,고양시_재차인원!$K$4:$O$4,0))</f>
        <v>3.6649914647729834E-4</v>
      </c>
      <c r="DL53" s="267">
        <f>INDEX($BC$43:$BP$56,MATCH($CW53,$L$43:$L$56,0),MATCH(DL$44,$BC$44:$BP$44,0))/INDEX(고양시_재차인원!$K$4:$O$20,MATCH("경기도",고양시_재차인원!$K$4:$K$20,0),MATCH('A.일산테크노밸리(859991)_수정'!DL$44,고양시_재차인원!$K$4:$O$4,0))</f>
        <v>2.4433276431819884E-4</v>
      </c>
      <c r="DM53" s="267">
        <f>INDEX($BC$43:$BP$56,MATCH($CW53,$L$43:$L$56,0),MATCH(DM$44,$BC$44:$BP$44,0))/INDEX(고양시_재차인원!$K$4:$O$20,MATCH("경기도",고양시_재차인원!$K$4:$K$20,0),MATCH('A.일산테크노밸리(859991)_수정'!DM$44,고양시_재차인원!$K$4:$O$4,0))</f>
        <v>1.0067982328414158E-3</v>
      </c>
      <c r="DN53" s="268">
        <f>INDEX($BQ$43:$CD$56,MATCH($CW53,$L$43:$L$56,0),MATCH(DN$44,$BQ$44:$CD$44,0))/INDEX(고양시_재차인원!$D$4:$H$35,MATCH("고양시",고양시_재차인원!$B$4:$B$35,0),MATCH('A.일산테크노밸리(859991)_수정'!$DN$43,고양시_재차인원!$D$4:$H$4,0))</f>
        <v>0.27382052188932793</v>
      </c>
      <c r="DO53" s="267">
        <f>INDEX($BQ$43:$CD$56,MATCH($CW53,$L$43:$L$56,0),MATCH(DO$44,$BQ$44:$CD$44,0))/INDEX(고양시_재차인원!$K$4:$O$20,MATCH("경기도",고양시_재차인원!$K$4:$K$20,0),MATCH('A.일산테크노밸리(859991)_수정'!DO$44,고양시_재차인원!$K$4:$O$4,0))</f>
        <v>1.0931705552334567E-3</v>
      </c>
      <c r="DP53" s="267">
        <f>INDEX($BQ$43:$CD$56,MATCH($CW53,$L$43:$L$56,0),MATCH(DP$44,$BQ$44:$CD$44,0))/INDEX(고양시_재차인원!$K$4:$O$20,MATCH("경기도",고양시_재차인원!$K$4:$K$20,0),MATCH('A.일산테크노밸리(859991)_수정'!DP$44,고양시_재차인원!$K$4:$O$4,0))</f>
        <v>3.651072319536429E-3</v>
      </c>
      <c r="DQ53" s="267">
        <f>INDEX($BQ$43:$CD$56,MATCH($CW53,$L$43:$L$56,0),MATCH(DQ$44,$BQ$44:$CD$44,0))/INDEX(고양시_재차인원!$K$4:$O$20,MATCH("경기도",고양시_재차인원!$K$4:$K$20,0),MATCH('A.일산테크노밸리(859991)_수정'!DQ$44,고양시_재차인원!$K$4:$O$4,0))</f>
        <v>2.6273901251782766E-4</v>
      </c>
      <c r="DR53" s="269">
        <f t="shared" si="26"/>
        <v>506.95950176894246</v>
      </c>
      <c r="DS53" s="270">
        <f t="shared" si="20"/>
        <v>3.9796676779521173E-3</v>
      </c>
      <c r="DT53" s="270">
        <f t="shared" si="21"/>
        <v>2.2778655296959931</v>
      </c>
      <c r="DU53" s="270">
        <f t="shared" si="22"/>
        <v>56.442589323912706</v>
      </c>
      <c r="DW53" s="278"/>
      <c r="DX53" s="278" t="s">
        <v>481</v>
      </c>
      <c r="DY53" s="281">
        <f>DR55+DU55</f>
        <v>95.098292117734118</v>
      </c>
      <c r="DZ53" s="281">
        <f>DS55+DT55</f>
        <v>0.38515934636733906</v>
      </c>
      <c r="EC53" s="412" t="s">
        <v>15</v>
      </c>
      <c r="ED53" s="412" t="s">
        <v>573</v>
      </c>
      <c r="EE53" s="412">
        <v>21685.084499999997</v>
      </c>
      <c r="EF53" s="412">
        <v>0.10071399380839066</v>
      </c>
      <c r="EG53" s="413">
        <v>859009</v>
      </c>
      <c r="EH53" s="414">
        <f t="shared" si="29"/>
        <v>784.60254590434192</v>
      </c>
      <c r="EI53" s="415">
        <f t="shared" si="30"/>
        <v>3.177733237990636</v>
      </c>
      <c r="EJ53" s="402">
        <v>0</v>
      </c>
      <c r="EM53" s="278" t="s">
        <v>15</v>
      </c>
      <c r="EN53" s="278" t="s">
        <v>573</v>
      </c>
      <c r="EO53" s="278">
        <v>21685.084499999997</v>
      </c>
      <c r="EP53" s="278">
        <v>0.10071399380839066</v>
      </c>
      <c r="EQ53" s="289">
        <v>859009</v>
      </c>
      <c r="ER53" s="290">
        <f t="shared" si="31"/>
        <v>784.60254590434192</v>
      </c>
      <c r="ES53" s="291">
        <f t="shared" si="23"/>
        <v>3.177733237990636</v>
      </c>
      <c r="ET53" s="402">
        <v>0</v>
      </c>
      <c r="EV53" s="34"/>
      <c r="EW53" s="34"/>
      <c r="EX53" s="34"/>
      <c r="EY53" s="34"/>
      <c r="EZ53" s="378"/>
      <c r="FA53" s="401"/>
      <c r="FB53" s="402"/>
      <c r="FC53" s="402"/>
    </row>
    <row r="54" spans="1:159" ht="16.5" customHeight="1">
      <c r="A54" s="205"/>
      <c r="B54" s="205" t="s">
        <v>144</v>
      </c>
      <c r="C54" s="400">
        <f>'A.일산테크노밸리(859991)_수정'!$P37*KTDB_TripDistribution_2040!L$12 * (1 + KTDB_발생량도착량_증가율!$D$7*5) * (1 + KTDB_발생량도착량_증가율!$E$7*5) * (1 + KTDB_발생량도착량_증가율!$F$7*5)</f>
        <v>113.80381148895525</v>
      </c>
      <c r="D54" s="400">
        <f>'A.일산테크노밸리(859991)_수정'!$P37*KTDB_TripDistribution_2040!M$12 * (1 + KTDB_발생량도착량_증가율!$D$7*5) * (1 + KTDB_발생량도착량_증가율!$E$7*5) * (1 + KTDB_발생량도착량_증가율!$F$7*5)</f>
        <v>884.95361434354118</v>
      </c>
      <c r="E54" s="400">
        <f>'A.일산테크노밸리(859991)_수정'!$P37*KTDB_TripDistribution_2040!N$12 * (1 + KTDB_발생량도착량_증가율!$D$7*5) * (1 + KTDB_발생량도착량_증가율!$E$7*5) * (1 + KTDB_발생량도착량_증가율!$F$7*5)</f>
        <v>39.225881433138035</v>
      </c>
      <c r="F54" s="400">
        <f>'A.일산테크노밸리(859991)_수정'!$P37*KTDB_TripDistribution_2040!O$12 * (1 + KTDB_발생량도착량_증가율!$D$7*5) * (1 + KTDB_발생량도착량_증가율!$E$7*5) * (1 + KTDB_발생량도착량_증가율!$F$7*5)</f>
        <v>0.10637527168308565</v>
      </c>
      <c r="G54" s="400">
        <f>'A.일산테크노밸리(859991)_수정'!$P37*KTDB_TripDistribution_2040!P$12 * (1 + KTDB_발생량도착량_증가율!$D$7*5) * (1 + KTDB_발생량도착량_증가율!$E$7*5) * (1 + KTDB_발생량도착량_증가율!$F$7*5)</f>
        <v>0.30139660310207844</v>
      </c>
      <c r="H54" s="400">
        <f>'A.일산테크노밸리(859991)_수정'!$P37*KTDB_TripDistribution_2040!Q$12 * (1 + KTDB_발생량도착량_증가율!$D$7*5) * (1 + KTDB_발생량도착량_증가율!$E$7*5) * (1 + KTDB_발생량도착량_증가율!$F$7*5)</f>
        <v>1038.3910791404196</v>
      </c>
      <c r="J54" s="230">
        <f t="shared" si="6"/>
        <v>1038.3910791404198</v>
      </c>
      <c r="K54" s="206"/>
      <c r="L54" s="209" t="s">
        <v>24</v>
      </c>
      <c r="M54" s="213">
        <f>INDEX($A$44:$H$56,MATCH($L54,$B$44:$B$56,0),MATCH($M$43,$A$44:$H$44,0))*고양시_Modal_split!C$3 * 0.01</f>
        <v>0.31865067216907467</v>
      </c>
      <c r="N54" s="207">
        <f>INDEX($A$44:$H$56,MATCH($L54,$B$44:$B$56,0),MATCH($M$43,$A$44:$H$44,0))*고양시_Modal_split!D$3 * 0.01</f>
        <v>53.521932543255652</v>
      </c>
      <c r="O54" s="207">
        <f>INDEX($A$44:$H$56,MATCH($L54,$B$44:$B$56,0),MATCH($M$43,$A$44:$H$44,0))*고양시_Modal_split!E$3 * 0.01</f>
        <v>6.4754368737215531</v>
      </c>
      <c r="P54" s="207">
        <f>INDEX($A$44:$H$56,MATCH($L54,$B$44:$B$56,0),MATCH($M$43,$A$44:$H$44,0))*고양시_Modal_split!F$3 * 0.01</f>
        <v>10.435809513537198</v>
      </c>
      <c r="Q54" s="207">
        <f>INDEX($A$44:$H$56,MATCH($L54,$B$44:$B$56,0),MATCH($M$43,$A$44:$H$44,0))*고양시_Modal_split!G$3 * 0.01</f>
        <v>1.0469950656983882</v>
      </c>
      <c r="R54" s="207">
        <f>INDEX($A$44:$H$56,MATCH($L54,$B$44:$B$56,0),MATCH($M$43,$A$44:$H$44,0))*고양시_Modal_split!H$3 * 0.01</f>
        <v>1.1380381148895525E-2</v>
      </c>
      <c r="S54" s="207">
        <f>INDEX($A$44:$H$56,MATCH($L54,$B$44:$B$56,0),MATCH($M$43,$A$44:$H$44,0))*고양시_Modal_split!I$3 * 0.01</f>
        <v>3.1637459593929553</v>
      </c>
      <c r="T54" s="207">
        <f>INDEX($A$44:$H$56,MATCH($L54,$B$44:$B$56,0),MATCH($M$43,$A$44:$H$44,0))*고양시_Modal_split!J$3 * 0.01</f>
        <v>34.641880217237983</v>
      </c>
      <c r="U54" s="207">
        <f>INDEX($A$44:$H$56,MATCH($L54,$B$44:$B$56,0),MATCH($M$43,$A$44:$H$44,0))*고양시_Modal_split!K$3 * 0.01</f>
        <v>0.17070571723343286</v>
      </c>
      <c r="V54" s="207">
        <f>INDEX($A$44:$H$56,MATCH($L54,$B$44:$B$56,0),MATCH($M$43,$A$44:$H$44,0))*고양시_Modal_split!L$3 * 0.01</f>
        <v>3.4368751069664483</v>
      </c>
      <c r="W54" s="207">
        <f>INDEX($A$44:$H$56,MATCH($L54,$B$44:$B$56,0),MATCH($M$43,$A$44:$H$44,0))*고양시_Modal_split!M$3 * 0.01</f>
        <v>0.26174876642459705</v>
      </c>
      <c r="X54" s="207">
        <f>INDEX($A$44:$H$56,MATCH($L54,$B$44:$B$56,0),MATCH($M$43,$A$44:$H$44,0))*고양시_Modal_split!N$3 * 0.01</f>
        <v>0.11380381148895526</v>
      </c>
      <c r="Y54" s="207">
        <f>INDEX($A$44:$H$56,MATCH($L54,$B$44:$B$56,0),MATCH($M$43,$A$44:$H$44,0))*고양시_Modal_split!O$3 * 0.01</f>
        <v>0.20484686068011942</v>
      </c>
      <c r="Z54" s="214">
        <f>INDEX($A$44:$H$56,MATCH($L54,$B$44:$B$56,0),MATCH($M$43,$A$44:$H$44,0))*고양시_Modal_split!P$3 * 0.01</f>
        <v>113.80381148895526</v>
      </c>
      <c r="AA54" s="213">
        <f>INDEX($A$44:$H$56,MATCH($L54,$B$44:$B$56,0),MATCH($AA$43,$A$44:$H$44,0))*고양시_Modal_split!C$4 * 0.01</f>
        <v>269.37988020617394</v>
      </c>
      <c r="AB54" s="207">
        <f>INDEX($A$44:$H$56,MATCH($L54,$B$44:$B$56,0),MATCH($AA$43,$A$44:$H$44,0))*고양시_Modal_split!D$4 * 0.01</f>
        <v>283.80462411997365</v>
      </c>
      <c r="AC54" s="207">
        <f>INDEX($A$44:$H$56,MATCH($L54,$B$44:$B$56,0),MATCH($AA$43,$A$44:$H$44,0))*고양시_Modal_split!E$4 * 0.01</f>
        <v>68.760895834493155</v>
      </c>
      <c r="AD54" s="207">
        <f>INDEX($A$44:$H$56,MATCH($L54,$B$44:$B$56,0),MATCH($AA$43,$A$44:$H$44,0))*고양시_Modal_split!F$4 * 0.01</f>
        <v>8.4070593362636412</v>
      </c>
      <c r="AE54" s="207">
        <f>INDEX($A$44:$H$56,MATCH($L54,$B$44:$B$56,0),MATCH($AA$43,$A$44:$H$44,0))*고양시_Modal_split!G$4 * 0.01</f>
        <v>103.62806823962866</v>
      </c>
      <c r="AF54" s="207">
        <f>INDEX($A$44:$H$56,MATCH($L54,$B$44:$B$56,0),MATCH($AA$43,$A$44:$H$44,0))*고양시_Modal_split!H$4 * 0.01</f>
        <v>0</v>
      </c>
      <c r="AG54" s="207">
        <f>INDEX($A$44:$H$56,MATCH($L54,$B$44:$B$56,0),MATCH($AA$43,$A$44:$H$44,0))*고양시_Modal_split!I$4 * 0.01</f>
        <v>30.79638577915523</v>
      </c>
      <c r="AH54" s="207">
        <f>INDEX($A$44:$H$56,MATCH($L54,$B$44:$B$56,0),MATCH($AA$43,$A$44:$H$44,0))*고양시_Modal_split!J$4 * 0.01</f>
        <v>41.68131523558079</v>
      </c>
      <c r="AI54" s="207">
        <f>INDEX($A$44:$H$56,MATCH($L54,$B$44:$B$56,0),MATCH($AA$43,$A$44:$H$44,0))*고양시_Modal_split!K$4 * 0.01</f>
        <v>0</v>
      </c>
      <c r="AJ54" s="207">
        <f>INDEX($A$44:$H$56,MATCH($L54,$B$44:$B$56,0),MATCH($AA$43,$A$44:$H$44,0))*고양시_Modal_split!L$4 * 0.01</f>
        <v>40.884856982671607</v>
      </c>
      <c r="AK54" s="207">
        <f>INDEX($A$44:$H$56,MATCH($L54,$B$44:$B$56,0),MATCH($AA$43,$A$44:$H$44,0))*고양시_Modal_split!M$4 * 0.01</f>
        <v>5.9291892161017268</v>
      </c>
      <c r="AL54" s="207">
        <f>INDEX($A$44:$H$56,MATCH($L54,$B$44:$B$56,0),MATCH($AA$43,$A$44:$H$44,0))*고양시_Modal_split!N$4 * 0.01</f>
        <v>22.123840358588531</v>
      </c>
      <c r="AM54" s="207">
        <f>INDEX($A$44:$H$56,MATCH($L54,$B$44:$B$56,0),MATCH($AA$43,$A$44:$H$44,0))*고양시_Modal_split!O$4 * 0.01</f>
        <v>9.5574990349102453</v>
      </c>
      <c r="AN54" s="214">
        <f>INDEX($A$44:$H$56,MATCH($L54,$B$44:$B$56,0),MATCH($AA$43,$A$44:$H$44,0))*고양시_Modal_split!P$4 * 0.01</f>
        <v>884.95361434354118</v>
      </c>
      <c r="AO54" s="213">
        <f>INDEX($A$44:$H$56,MATCH($L54,$B$44:$B$56,0),MATCH($AO$43,$A$44:$H$44,0))*고양시_Modal_split!C$5 * 0.01</f>
        <v>2.3535528859882821E-2</v>
      </c>
      <c r="AP54" s="207">
        <f>INDEX($A$44:$H$56,MATCH($L54,$B$44:$B$56,0),MATCH($AO$43,$A$44:$H$44,0))*고양시_Modal_split!D$5 * 0.01</f>
        <v>28.744725914203556</v>
      </c>
      <c r="AQ54" s="207">
        <f>INDEX($A$44:$H$56,MATCH($L54,$B$44:$B$56,0),MATCH($AO$43,$A$44:$H$44,0))*고양시_Modal_split!E$5 * 0.01</f>
        <v>3.8637493211640965</v>
      </c>
      <c r="AR54" s="207">
        <f>INDEX($A$44:$H$56,MATCH($L54,$B$44:$B$56,0),MATCH($AO$43,$A$44:$H$44,0))*고양시_Modal_split!F$5 * 0.01</f>
        <v>0.82374351009589875</v>
      </c>
      <c r="AS54" s="207">
        <f>INDEX($A$44:$H$56,MATCH($L54,$B$44:$B$56,0),MATCH($AO$43,$A$44:$H$44,0))*고양시_Modal_split!G$5 * 0.01</f>
        <v>0.25496822931539725</v>
      </c>
      <c r="AT54" s="207">
        <f>INDEX($A$44:$H$56,MATCH($L54,$B$44:$B$56,0),MATCH($AO$43,$A$44:$H$44,0))*고양시_Modal_split!H$5 * 0.01</f>
        <v>2.7458117003196621E-2</v>
      </c>
      <c r="AU54" s="207">
        <f>INDEX($A$44:$H$56,MATCH($L54,$B$44:$B$56,0),MATCH($AO$43,$A$44:$H$44,0))*고양시_Modal_split!I$5 * 0.01</f>
        <v>1.0865569156979236</v>
      </c>
      <c r="AV54" s="207">
        <f>INDEX($A$44:$H$56,MATCH($L54,$B$44:$B$56,0),MATCH($AO$43,$A$44:$H$44,0))*고양시_Modal_split!J$5 * 0.01</f>
        <v>2.4594627658577553</v>
      </c>
      <c r="AW54" s="207">
        <f>INDEX($A$44:$H$56,MATCH($L54,$B$44:$B$56,0),MATCH($AO$43,$A$44:$H$44,0))*고양시_Modal_split!K$5 * 0.01</f>
        <v>7.8451762866276076E-3</v>
      </c>
      <c r="AX54" s="207">
        <f>INDEX($A$44:$H$56,MATCH($L54,$B$44:$B$56,0),MATCH($AO$43,$A$44:$H$44,0))*고양시_Modal_split!L$5 * 0.01</f>
        <v>1.0002599765450197</v>
      </c>
      <c r="AY54" s="207">
        <f>INDEX($A$44:$H$56,MATCH($L54,$B$44:$B$56,0),MATCH($AO$43,$A$44:$H$44,0))*고양시_Modal_split!M$5 * 0.01</f>
        <v>0.26281340560202482</v>
      </c>
      <c r="AZ54" s="207">
        <f>INDEX($A$44:$H$56,MATCH($L54,$B$44:$B$56,0),MATCH($AO$43,$A$44:$H$44,0))*고양시_Modal_split!N$5 * 0.01</f>
        <v>6.6683998436334657E-2</v>
      </c>
      <c r="BA54" s="207">
        <f>INDEX($A$44:$H$56,MATCH($L54,$B$44:$B$56,0),MATCH($AO$43,$A$44:$H$44,0))*고양시_Modal_split!O$5 * 0.01</f>
        <v>0.60407857407032572</v>
      </c>
      <c r="BB54" s="214">
        <f>INDEX($A$44:$H$56,MATCH($L54,$B$44:$B$56,0),MATCH($AO$43,$A$44:$H$44,0))*고양시_Modal_split!P$5 * 0.01</f>
        <v>39.225881433138028</v>
      </c>
      <c r="BC54" s="213">
        <f>INDEX($A$44:$H$56,MATCH($L54,$B$44:$B$56,0),MATCH($BC$43,$A$44:$H$44,0))*고양시_Modal_split!C$6 * 0.01</f>
        <v>0</v>
      </c>
      <c r="BD54" s="207">
        <f>INDEX($A$44:$H$56,MATCH($L54,$B$44:$B$56,0),MATCH($BC$43,$A$44:$H$44,0))*고양시_Modal_split!D$6 * 0.01</f>
        <v>8.8089362480763211E-2</v>
      </c>
      <c r="BE54" s="207">
        <f>INDEX($A$44:$H$56,MATCH($L54,$B$44:$B$56,0),MATCH($BC$43,$A$44:$H$44,0))*고양시_Modal_split!E$6 * 0.01</f>
        <v>4.574136682372683E-4</v>
      </c>
      <c r="BF54" s="207">
        <f>INDEX($A$44:$H$56,MATCH($L54,$B$44:$B$56,0),MATCH($BC$43,$A$44:$H$44,0))*고양시_Modal_split!F$6 * 0.01</f>
        <v>1.2977783145336449E-3</v>
      </c>
      <c r="BG54" s="207">
        <f>INDEX($A$44:$H$56,MATCH($L54,$B$44:$B$56,0),MATCH($BC$43,$A$44:$H$44,0))*고양시_Modal_split!G$6 * 0.01</f>
        <v>0</v>
      </c>
      <c r="BH54" s="207">
        <f>INDEX($A$44:$H$56,MATCH($L54,$B$44:$B$56,0),MATCH($BC$43,$A$44:$H$44,0))*고양시_Modal_split!H$6 * 0.01</f>
        <v>5.6485269263718482E-3</v>
      </c>
      <c r="BI54" s="207">
        <f>INDEX($A$44:$H$56,MATCH($L54,$B$44:$B$56,0),MATCH($BC$43,$A$44:$H$44,0))*고양시_Modal_split!I$6 * 0.01</f>
        <v>3.7656846175812319E-3</v>
      </c>
      <c r="BJ54" s="207">
        <f>INDEX($A$44:$H$56,MATCH($L54,$B$44:$B$56,0),MATCH($BC$43,$A$44:$H$44,0))*고양시_Modal_split!J$6 * 0.01</f>
        <v>5.2549384211444308E-3</v>
      </c>
      <c r="BK54" s="207">
        <f>INDEX($A$44:$H$56,MATCH($L54,$B$44:$B$56,0),MATCH($BC$43,$A$44:$H$44,0))*고양시_Modal_split!K$6 * 0.01</f>
        <v>0</v>
      </c>
      <c r="BL54" s="207">
        <f>INDEX($A$44:$H$56,MATCH($L54,$B$44:$B$56,0),MATCH($BC$43,$A$44:$H$44,0))*고양시_Modal_split!L$6 * 0.01</f>
        <v>8.0845206479145104E-4</v>
      </c>
      <c r="BM54" s="207">
        <f>INDEX($A$44:$H$56,MATCH($L54,$B$44:$B$56,0),MATCH($BC$43,$A$44:$H$44,0))*고양시_Modal_split!M$6 * 0.01</f>
        <v>9.6801497231607944E-4</v>
      </c>
      <c r="BN54" s="207">
        <f>INDEX($A$44:$H$56,MATCH($L54,$B$44:$B$56,0),MATCH($BC$43,$A$44:$H$44,0))*고양시_Modal_split!N$6 * 0.01</f>
        <v>0</v>
      </c>
      <c r="BO54" s="207">
        <f>INDEX($A$44:$H$56,MATCH($L54,$B$44:$B$56,0),MATCH($BC$43,$A$44:$H$44,0))*고양시_Modal_split!O$6 * 0.01</f>
        <v>8.5100217346468522E-5</v>
      </c>
      <c r="BP54" s="214">
        <f>INDEX($A$44:$H$56,MATCH($L54,$B$44:$B$56,0),MATCH($BC$43,$A$44:$H$44,0))*고양시_Modal_split!P$6 * 0.01</f>
        <v>0.10637527168308566</v>
      </c>
      <c r="BQ54" s="213">
        <f>INDEX($A$44:$H$56,MATCH($L54,$B$44:$B$56,0),MATCH($BQ$43,$A$44:$H$44,0))*고양시_Modal_split!C$7 * 0.01</f>
        <v>0</v>
      </c>
      <c r="BR54" s="207">
        <f>INDEX($A$44:$H$56,MATCH($L54,$B$44:$B$56,0),MATCH($BQ$43,$A$44:$H$44,0))*고양시_Modal_split!D$7 * 0.01</f>
        <v>0.18469583838095369</v>
      </c>
      <c r="BS54" s="207">
        <f>INDEX($A$44:$H$56,MATCH($L54,$B$44:$B$56,0),MATCH($BQ$43,$A$44:$H$44,0))*고양시_Modal_split!E$7 * 0.01</f>
        <v>9.0117584327521448E-3</v>
      </c>
      <c r="BT54" s="207">
        <f>INDEX($A$44:$H$56,MATCH($L54,$B$44:$B$56,0),MATCH($BQ$43,$A$44:$H$44,0))*고양시_Modal_split!F$7 * 0.01</f>
        <v>3.0139660310207843E-3</v>
      </c>
      <c r="BU54" s="207">
        <f>INDEX($A$44:$H$56,MATCH($L54,$B$44:$B$56,0),MATCH($BQ$43,$A$44:$H$44,0))*고양시_Modal_split!G$7 * 0.01</f>
        <v>1.2658657330287292E-3</v>
      </c>
      <c r="BV54" s="207">
        <f>INDEX($A$44:$H$56,MATCH($L54,$B$44:$B$56,0),MATCH($BQ$43,$A$44:$H$44,0))*고양시_Modal_split!H$7 * 0.01</f>
        <v>1.6848070113406183E-2</v>
      </c>
      <c r="BW54" s="207">
        <f>INDEX($A$44:$H$56,MATCH($L54,$B$44:$B$56,0),MATCH($BQ$43,$A$44:$H$44,0))*고양시_Modal_split!I$7 * 0.01</f>
        <v>5.6270745799158049E-2</v>
      </c>
      <c r="BX54" s="207">
        <f>INDEX($A$44:$H$56,MATCH($L54,$B$44:$B$56,0),MATCH($BQ$43,$A$44:$H$44,0))*고양시_Modal_split!J$7 * 0.01</f>
        <v>6.0279320620415691E-5</v>
      </c>
      <c r="BY54" s="207">
        <f>INDEX($A$44:$H$56,MATCH($L54,$B$44:$B$56,0),MATCH($BQ$43,$A$44:$H$44,0))*고양시_Modal_split!K$7 * 0.01</f>
        <v>2.3207538438860042E-2</v>
      </c>
      <c r="BZ54" s="207">
        <f>INDEX($A$44:$H$56,MATCH($L54,$B$44:$B$56,0),MATCH($BQ$43,$A$44:$H$44,0))*고양시_Modal_split!L$7 * 0.01</f>
        <v>2.109776221714549E-4</v>
      </c>
      <c r="CA54" s="207">
        <f>INDEX($A$44:$H$56,MATCH($L54,$B$44:$B$56,0),MATCH($BQ$43,$A$44:$H$44,0))*고양시_Modal_split!M$7 * 0.01</f>
        <v>5.6361164780088669E-3</v>
      </c>
      <c r="CB54" s="207">
        <f>INDEX($A$44:$H$56,MATCH($L54,$B$44:$B$56,0),MATCH($BQ$43,$A$44:$H$44,0))*고양시_Modal_split!N$7 * 0.01</f>
        <v>1.1754467520981057E-3</v>
      </c>
      <c r="CC54" s="207">
        <f>INDEX($A$44:$H$56,MATCH($L54,$B$44:$B$56,0),MATCH($BQ$43,$A$44:$H$44,0))*고양시_Modal_split!O$7 * 0.01</f>
        <v>0</v>
      </c>
      <c r="CD54" s="214">
        <f>INDEX($A$44:$H$56,MATCH($L54,$B$44:$B$56,0),MATCH($BQ$43,$A$44:$H$44,0))*고양시_Modal_split!P$7 * 0.01</f>
        <v>0.30139660310207844</v>
      </c>
      <c r="CE54" s="218">
        <f t="shared" si="24"/>
        <v>269.72206640720293</v>
      </c>
      <c r="CF54" s="208">
        <f t="shared" si="7"/>
        <v>366.34406777829463</v>
      </c>
      <c r="CG54" s="208">
        <f t="shared" si="8"/>
        <v>79.109551201479789</v>
      </c>
      <c r="CH54" s="208">
        <f t="shared" si="9"/>
        <v>19.670924104242289</v>
      </c>
      <c r="CI54" s="208">
        <f t="shared" si="10"/>
        <v>104.93129740037547</v>
      </c>
      <c r="CJ54" s="208">
        <f t="shared" si="11"/>
        <v>6.1335095191870179E-2</v>
      </c>
      <c r="CK54" s="208">
        <f t="shared" si="12"/>
        <v>35.106725084662855</v>
      </c>
      <c r="CL54" s="208">
        <f t="shared" si="13"/>
        <v>78.787973436418284</v>
      </c>
      <c r="CM54" s="208">
        <f t="shared" si="14"/>
        <v>0.20175843195892051</v>
      </c>
      <c r="CN54" s="208">
        <f t="shared" si="15"/>
        <v>45.323011495870034</v>
      </c>
      <c r="CO54" s="208">
        <f t="shared" si="16"/>
        <v>6.4603555195786742</v>
      </c>
      <c r="CP54" s="208">
        <f t="shared" si="17"/>
        <v>22.30550361526592</v>
      </c>
      <c r="CQ54" s="208">
        <f t="shared" si="18"/>
        <v>10.366509569878035</v>
      </c>
      <c r="CR54" s="219">
        <f t="shared" si="19"/>
        <v>1038.3910791404198</v>
      </c>
      <c r="CS54" s="225">
        <f t="shared" si="25"/>
        <v>0</v>
      </c>
      <c r="CV54" s="265"/>
      <c r="CW54" s="266" t="s">
        <v>24</v>
      </c>
      <c r="CX54" s="267">
        <f>INDEX($M$43:$Z$56,MATCH($CW54,$L$43:$L$56,0),MATCH(CX$44,$M$44:$Z$44,0))/INDEX(고양시_재차인원!$D$4:$H$35,MATCH("고양시",고양시_재차인원!$B$4:$B$35,0),MATCH('A.일산테크노밸리(859991)_수정'!$CX$43,고양시_재차인원!$D$4:$H$4,0))</f>
        <v>47.787439770763967</v>
      </c>
      <c r="CY54" s="267">
        <f>INDEX($M$43:$Z$56,MATCH($CW54,$L$43:$L$56,0),MATCH(CY$44,$M$44:$Z$44,0))/INDEX(고양시_재차인원!$K$4:$O$20,MATCH("경기도",고양시_재차인원!$K$4:$K$20,0),MATCH('A.일산테크노밸리(859991)_수정'!CY$44,고양시_재차인원!$K$4:$O$4,0))</f>
        <v>3.952893764812617E-4</v>
      </c>
      <c r="CZ54" s="267">
        <f>INDEX($M$43:$Z$56,MATCH($CW54,$L$43:$L$56,0),MATCH(CZ$44,$M$44:$Z$44,0))/INDEX(고양시_재차인원!$K$4:$O$20,MATCH("경기도",고양시_재차인원!$K$4:$K$20,0),MATCH('A.일산테크노밸리(859991)_수정'!CZ$44,고양시_재차인원!$K$4:$O$4,0))</f>
        <v>0.10989044666179074</v>
      </c>
      <c r="DA54" s="267">
        <f>INDEX($M$43:$Z$56,MATCH($CW54,$L$43:$L$56,0),MATCH(DA$44,$M$44:$Z$44,0))/INDEX(고양시_재차인원!$K$4:$O$20,MATCH("경기도",고양시_재차인원!$K$4:$K$20,0),MATCH('A.일산테크노밸리(859991)_수정'!DA$44,고양시_재차인원!$K$4:$O$4,0))</f>
        <v>2.2912500713109654</v>
      </c>
      <c r="DB54" s="268">
        <f>INDEX($AA$43:$AN$56,MATCH($CW54,$L$43:$L$56,0),MATCH(DB$44,$AA$44:$AN$44,0))/INDEX(고양시_재차인원!$D$4:$H$35,MATCH("고양시",고양시_재차인원!$B$4:$B$35,0),MATCH('A.일산테크노밸리(859991)_수정'!$DB$43,고양시_재차인원!$D$4:$H$4,0))</f>
        <v>201.27987526239266</v>
      </c>
      <c r="DC54" s="267">
        <f>INDEX($AA$43:$AN$56,MATCH($CW54,$L$43:$L$56,0),MATCH(DC$44,$AA$44:$AN$44,0))/INDEX(고양시_재차인원!$K$4:$O$20,MATCH("경기도",고양시_재차인원!$K$4:$K$20,0),MATCH('A.일산테크노밸리(859991)_수정'!DC$44,고양시_재차인원!$K$4:$O$4,0))</f>
        <v>0</v>
      </c>
      <c r="DD54" s="267">
        <f>INDEX($AA$43:$AN$56,MATCH($CW54,$L$43:$L$56,0),MATCH(DD$44,$AA$44:$AN$44,0))/INDEX(고양시_재차인원!$K$4:$O$20,MATCH("경기도",고양시_재차인원!$K$4:$K$20,0),MATCH('A.일산테크노밸리(859991)_수정'!DD$44,고양시_재차인원!$K$4:$O$4,0))</f>
        <v>1.0696903709327972</v>
      </c>
      <c r="DE54" s="267">
        <f>INDEX($AA$43:$AN$56,MATCH($CW54,$L$43:$L$56,0),MATCH(DE$44,$AA$44:$AN$44,0))/INDEX(고양시_재차인원!$K$4:$O$20,MATCH("경기도",고양시_재차인원!$K$4:$K$20,0),MATCH('A.일산테크노밸리(859991)_수정'!DE$44,고양시_재차인원!$K$4:$O$4,0))</f>
        <v>27.25657132178107</v>
      </c>
      <c r="DF54" s="268">
        <f>INDEX($AO$43:$BB$56,MATCH($CW54,$L$43:$L$56,0),MATCH(DF$44,$AO$44:$BB$44,0))/INDEX(고양시_재차인원!$D$4:$H$35,MATCH("고양시",고양시_재차인원!$B$4:$B$35,0),MATCH('A.일산테크노밸리(859991)_수정'!$DF$43,고양시_재차인원!$D$4:$H$4,0))</f>
        <v>22.111327626310427</v>
      </c>
      <c r="DG54" s="267">
        <f>INDEX($AO$43:$BB$56,MATCH($CW54,$L$43:$L$56,0),MATCH(DG$44,$AO$44:$BB$44,0))/INDEX(고양시_재차인원!$K$4:$O$20,MATCH("경기도",고양시_재차인원!$K$4:$K$20,0),MATCH('A.일산테크노밸리(859991)_수정'!DG$44,고양시_재차인원!$K$4:$O$4,0))</f>
        <v>9.5373799941634674E-4</v>
      </c>
      <c r="DH54" s="267">
        <f>INDEX($AO$43:$BB$56,MATCH($CW54,$L$43:$L$56,0),MATCH(DH$44,$AO$44:$BB$44,0))/INDEX(고양시_재차인원!$K$4:$O$20,MATCH("경기도",고양시_재차인원!$K$4:$K$20,0),MATCH('A.일산테크노밸리(859991)_수정'!DH$44,고양시_재차인원!$K$4:$O$4,0))</f>
        <v>3.774077511976115E-2</v>
      </c>
      <c r="DI54" s="267">
        <f>INDEX($AO$43:$BB$56,MATCH($CW54,$L$43:$L$56,0),MATCH(DI$44,$AO$44:$BB$44,0))/INDEX(고양시_재차인원!$K$4:$O$20,MATCH("경기도",고양시_재차인원!$K$4:$K$20,0),MATCH('A.일산테크노밸리(859991)_수정'!DI$44,고양시_재차인원!$K$4:$O$4,0))</f>
        <v>0.66683998436334646</v>
      </c>
      <c r="DJ54" s="268">
        <f>INDEX($BC$43:$BP$56,MATCH($CW54,$L$43:$L$56,0),MATCH(DJ$44,$BC$44:$BP$44,0))/INDEX(고양시_재차인원!$D$4:$H$35,MATCH("고양시",고양시_재차인원!$B$4:$B$35,0),MATCH('A.일산테크노밸리(859991)_수정'!$DJ$43,고양시_재차인원!$D$4:$H$4,0))</f>
        <v>6.4771590059384709E-2</v>
      </c>
      <c r="DK54" s="267">
        <f>INDEX($BC$43:$BP$56,MATCH($CW54,$L$43:$L$56,0),MATCH(DK$44,$BC$44:$BP$44,0))/INDEX(고양시_재차인원!$K$4:$O$20,MATCH("경기도",고양시_재차인원!$K$4:$K$20,0),MATCH('A.일산테크노밸리(859991)_수정'!DK$44,고양시_재차인원!$K$4:$O$4,0))</f>
        <v>1.9619753130850463E-4</v>
      </c>
      <c r="DL54" s="267">
        <f>INDEX($BC$43:$BP$56,MATCH($CW54,$L$43:$L$56,0),MATCH(DL$44,$BC$44:$BP$44,0))/INDEX(고양시_재차인원!$K$4:$O$20,MATCH("경기도",고양시_재차인원!$K$4:$K$20,0),MATCH('A.일산테크노밸리(859991)_수정'!DL$44,고양시_재차인원!$K$4:$O$4,0))</f>
        <v>1.3079835420566974E-4</v>
      </c>
      <c r="DM54" s="267">
        <f>INDEX($BC$43:$BP$56,MATCH($CW54,$L$43:$L$56,0),MATCH(DM$44,$BC$44:$BP$44,0))/INDEX(고양시_재차인원!$K$4:$O$20,MATCH("경기도",고양시_재차인원!$K$4:$K$20,0),MATCH('A.일산테크노밸리(859991)_수정'!DM$44,고양시_재차인원!$K$4:$O$4,0))</f>
        <v>5.389680431943007E-4</v>
      </c>
      <c r="DN54" s="268">
        <f>INDEX($BQ$43:$CD$56,MATCH($CW54,$L$43:$L$56,0),MATCH(DN$44,$BQ$44:$CD$44,0))/INDEX(고양시_재차인원!$D$4:$H$35,MATCH("고양시",고양시_재차인원!$B$4:$B$35,0),MATCH('A.일산테크노밸리(859991)_수정'!$DN$43,고양시_재차인원!$D$4:$H$4,0))</f>
        <v>0.1465839987150426</v>
      </c>
      <c r="DO54" s="267">
        <f>INDEX($BQ$43:$CD$56,MATCH($CW54,$L$43:$L$56,0),MATCH(DO$44,$BQ$44:$CD$44,0))/INDEX(고양시_재차인원!$K$4:$O$20,MATCH("경기도",고양시_재차인원!$K$4:$K$20,0),MATCH('A.일산테크노밸리(859991)_수정'!DO$44,고양시_재차인원!$K$4:$O$4,0))</f>
        <v>5.8520563089288589E-4</v>
      </c>
      <c r="DP54" s="267">
        <f>INDEX($BQ$43:$CD$56,MATCH($CW54,$L$43:$L$56,0),MATCH(DP$44,$BQ$44:$CD$44,0))/INDEX(고양시_재차인원!$K$4:$O$20,MATCH("경기도",고양시_재차인원!$K$4:$K$20,0),MATCH('A.일산테크노밸리(859991)_수정'!DP$44,고양시_재차인원!$K$4:$O$4,0))</f>
        <v>1.9545239944132702E-3</v>
      </c>
      <c r="DQ54" s="267">
        <f>INDEX($BQ$43:$CD$56,MATCH($CW54,$L$43:$L$56,0),MATCH(DQ$44,$BQ$44:$CD$44,0))/INDEX(고양시_재차인원!$K$4:$O$20,MATCH("경기도",고양시_재차인원!$K$4:$K$20,0),MATCH('A.일산테크노밸리(859991)_수정'!DQ$44,고양시_재차인원!$K$4:$O$4,0))</f>
        <v>1.4065174811430327E-4</v>
      </c>
      <c r="DR54" s="269">
        <f t="shared" si="26"/>
        <v>271.38999824824145</v>
      </c>
      <c r="DS54" s="270">
        <f t="shared" si="20"/>
        <v>2.130430538098999E-3</v>
      </c>
      <c r="DT54" s="270">
        <f t="shared" si="21"/>
        <v>1.2194069150629678</v>
      </c>
      <c r="DU54" s="270">
        <f t="shared" si="22"/>
        <v>30.215340997246692</v>
      </c>
      <c r="DW54" s="278"/>
      <c r="DX54" s="278"/>
      <c r="DY54" s="281">
        <f>DR56+DU56</f>
        <v>11348.764790747737</v>
      </c>
      <c r="DZ54" s="281">
        <f>DS56+DT56</f>
        <v>45.963841532186066</v>
      </c>
      <c r="EC54" s="412" t="s">
        <v>15</v>
      </c>
      <c r="ED54" s="412" t="s">
        <v>574</v>
      </c>
      <c r="EE54" s="412">
        <v>10018.5584</v>
      </c>
      <c r="EF54" s="412">
        <v>4.6530094391220855E-2</v>
      </c>
      <c r="EG54" s="413">
        <v>859010</v>
      </c>
      <c r="EH54" s="414">
        <f t="shared" si="29"/>
        <v>362.48816217116104</v>
      </c>
      <c r="EI54" s="415">
        <f t="shared" si="30"/>
        <v>1.4681199893147887</v>
      </c>
      <c r="EJ54" s="402">
        <v>0</v>
      </c>
      <c r="EM54" s="278" t="s">
        <v>15</v>
      </c>
      <c r="EN54" s="278" t="s">
        <v>574</v>
      </c>
      <c r="EO54" s="278">
        <v>10018.5584</v>
      </c>
      <c r="EP54" s="278">
        <v>4.6530094391220855E-2</v>
      </c>
      <c r="EQ54" s="289">
        <v>859010</v>
      </c>
      <c r="ER54" s="290">
        <f t="shared" si="31"/>
        <v>362.48816217116104</v>
      </c>
      <c r="ES54" s="291">
        <f t="shared" si="23"/>
        <v>1.4681199893147887</v>
      </c>
      <c r="ET54" s="402">
        <v>0</v>
      </c>
      <c r="EV54" s="34"/>
      <c r="EW54" s="34"/>
      <c r="EX54" s="34"/>
      <c r="EY54" s="34"/>
      <c r="EZ54" s="378"/>
      <c r="FA54" s="401"/>
      <c r="FB54" s="402"/>
      <c r="FC54" s="402"/>
    </row>
    <row r="55" spans="1:159" ht="16.5" customHeight="1">
      <c r="A55" s="205"/>
      <c r="B55" s="205" t="s">
        <v>145</v>
      </c>
      <c r="C55" s="400">
        <f>'A.일산테크노밸리(859991)_수정'!$P38*KTDB_TripDistribution_2040!L$12 * (1 + KTDB_발생량도착량_증가율!$D$7*5) * (1 + KTDB_발생량도착량_증가율!$E$7*5) * (1 + KTDB_발생량도착량_증가율!$F$7*5)</f>
        <v>35.883144960770487</v>
      </c>
      <c r="D55" s="400">
        <f>'A.일산테크노밸리(859991)_수정'!$P38*KTDB_TripDistribution_2040!M$12 * (1 + KTDB_발생량도착량_증가율!$D$7*5) * (1 + KTDB_발생량도착량_증가율!$E$7*5) * (1 + KTDB_발생량도착량_증가율!$F$7*5)</f>
        <v>279.03212037963164</v>
      </c>
      <c r="E55" s="400">
        <f>'A.일산테크노밸리(859991)_수정'!$P38*KTDB_TripDistribution_2040!N$12 * (1 + KTDB_발생량도착량_증가율!$D$7*5) * (1 + KTDB_발생량도착량_증가율!$E$7*5) * (1 + KTDB_발생량도착량_증가율!$F$7*5)</f>
        <v>12.368197262144349</v>
      </c>
      <c r="F55" s="400">
        <f>'A.일산테크노밸리(859991)_수정'!$P38*KTDB_TripDistribution_2040!O$12 * (1 + KTDB_발생량도착량_증가율!$D$7*5) * (1 + KTDB_발생량도착량_증가율!$E$7*5) * (1 + KTDB_발생량도착량_증가율!$F$7*5)</f>
        <v>3.3540873931238745E-2</v>
      </c>
      <c r="G55" s="400">
        <f>'A.일산테크노밸리(859991)_수정'!$P38*KTDB_TripDistribution_2040!P$12 * (1 + KTDB_발생량도착량_증가율!$D$7*5) * (1 + KTDB_발생량도착량_증가율!$E$7*5) * (1 + KTDB_발생량도착량_증가율!$F$7*5)</f>
        <v>9.5032476138510527E-2</v>
      </c>
      <c r="H55" s="400">
        <f>'A.일산테크노밸리(859991)_수정'!$P38*KTDB_TripDistribution_2040!Q$12 * (1 + KTDB_발생량도착량_증가율!$D$7*5) * (1 + KTDB_발생량도착량_증가율!$E$7*5) * (1 + KTDB_발생량도착량_증가율!$F$7*5)</f>
        <v>327.41203595261624</v>
      </c>
      <c r="J55" s="230">
        <f t="shared" si="6"/>
        <v>327.41203595261624</v>
      </c>
      <c r="K55" s="206"/>
      <c r="L55" s="209" t="s">
        <v>481</v>
      </c>
      <c r="M55" s="213">
        <f>INDEX($A$44:$H$56,MATCH($L55,$B$44:$B$56,0),MATCH($M$43,$A$44:$H$44,0))*고양시_Modal_split!C$3 * 0.01</f>
        <v>0.10047280589015735</v>
      </c>
      <c r="N55" s="207">
        <f>INDEX($A$44:$H$56,MATCH($L55,$B$44:$B$56,0),MATCH($M$43,$A$44:$H$44,0))*고양시_Modal_split!D$3 * 0.01</f>
        <v>16.875843075050362</v>
      </c>
      <c r="O55" s="207">
        <f>INDEX($A$44:$H$56,MATCH($L55,$B$44:$B$56,0),MATCH($M$43,$A$44:$H$44,0))*고양시_Modal_split!E$3 * 0.01</f>
        <v>2.0417509482678406</v>
      </c>
      <c r="P55" s="207">
        <f>INDEX($A$44:$H$56,MATCH($L55,$B$44:$B$56,0),MATCH($M$43,$A$44:$H$44,0))*고양시_Modal_split!F$3 * 0.01</f>
        <v>3.2904843929026537</v>
      </c>
      <c r="Q55" s="207">
        <f>INDEX($A$44:$H$56,MATCH($L55,$B$44:$B$56,0),MATCH($M$43,$A$44:$H$44,0))*고양시_Modal_split!G$3 * 0.01</f>
        <v>0.33012493363908846</v>
      </c>
      <c r="R55" s="207">
        <f>INDEX($A$44:$H$56,MATCH($L55,$B$44:$B$56,0),MATCH($M$43,$A$44:$H$44,0))*고양시_Modal_split!H$3 * 0.01</f>
        <v>3.5883144960770488E-3</v>
      </c>
      <c r="S55" s="207">
        <f>INDEX($A$44:$H$56,MATCH($L55,$B$44:$B$56,0),MATCH($M$43,$A$44:$H$44,0))*고양시_Modal_split!I$3 * 0.01</f>
        <v>0.99755142990941947</v>
      </c>
      <c r="T55" s="207">
        <f>INDEX($A$44:$H$56,MATCH($L55,$B$44:$B$56,0),MATCH($M$43,$A$44:$H$44,0))*고양시_Modal_split!J$3 * 0.01</f>
        <v>10.922829326058537</v>
      </c>
      <c r="U55" s="207">
        <f>INDEX($A$44:$H$56,MATCH($L55,$B$44:$B$56,0),MATCH($M$43,$A$44:$H$44,0))*고양시_Modal_split!K$3 * 0.01</f>
        <v>5.3824717441155724E-2</v>
      </c>
      <c r="V55" s="207">
        <f>INDEX($A$44:$H$56,MATCH($L55,$B$44:$B$56,0),MATCH($M$43,$A$44:$H$44,0))*고양시_Modal_split!L$3 * 0.01</f>
        <v>1.0836709778152687</v>
      </c>
      <c r="W55" s="207">
        <f>INDEX($A$44:$H$56,MATCH($L55,$B$44:$B$56,0),MATCH($M$43,$A$44:$H$44,0))*고양시_Modal_split!M$3 * 0.01</f>
        <v>8.2531233409772115E-2</v>
      </c>
      <c r="X55" s="207">
        <f>INDEX($A$44:$H$56,MATCH($L55,$B$44:$B$56,0),MATCH($M$43,$A$44:$H$44,0))*고양시_Modal_split!N$3 * 0.01</f>
        <v>3.588314496077049E-2</v>
      </c>
      <c r="Y55" s="207">
        <f>INDEX($A$44:$H$56,MATCH($L55,$B$44:$B$56,0),MATCH($M$43,$A$44:$H$44,0))*고양시_Modal_split!O$3 * 0.01</f>
        <v>6.4589660929386866E-2</v>
      </c>
      <c r="Z55" s="214">
        <f>INDEX($A$44:$H$56,MATCH($L55,$B$44:$B$56,0),MATCH($M$43,$A$44:$H$44,0))*고양시_Modal_split!P$3 * 0.01</f>
        <v>35.883144960770487</v>
      </c>
      <c r="AA55" s="213">
        <f>INDEX($A$44:$H$56,MATCH($L55,$B$44:$B$56,0),MATCH($AA$43,$A$44:$H$44,0))*고양시_Modal_split!C$4 * 0.01</f>
        <v>84.937377443559868</v>
      </c>
      <c r="AB55" s="207">
        <f>INDEX($A$44:$H$56,MATCH($L55,$B$44:$B$56,0),MATCH($AA$43,$A$44:$H$44,0))*고양시_Modal_split!D$4 * 0.01</f>
        <v>89.485601005747867</v>
      </c>
      <c r="AC55" s="207">
        <f>INDEX($A$44:$H$56,MATCH($L55,$B$44:$B$56,0),MATCH($AA$43,$A$44:$H$44,0))*고양시_Modal_split!E$4 * 0.01</f>
        <v>21.680795753497378</v>
      </c>
      <c r="AD55" s="207">
        <f>INDEX($A$44:$H$56,MATCH($L55,$B$44:$B$56,0),MATCH($AA$43,$A$44:$H$44,0))*고양시_Modal_split!F$4 * 0.01</f>
        <v>2.6508051436065005</v>
      </c>
      <c r="AE55" s="207">
        <f>INDEX($A$44:$H$56,MATCH($L55,$B$44:$B$56,0),MATCH($AA$43,$A$44:$H$44,0))*고양시_Modal_split!G$4 * 0.01</f>
        <v>32.674661296454858</v>
      </c>
      <c r="AF55" s="207">
        <f>INDEX($A$44:$H$56,MATCH($L55,$B$44:$B$56,0),MATCH($AA$43,$A$44:$H$44,0))*고양시_Modal_split!H$4 * 0.01</f>
        <v>0</v>
      </c>
      <c r="AG55" s="207">
        <f>INDEX($A$44:$H$56,MATCH($L55,$B$44:$B$56,0),MATCH($AA$43,$A$44:$H$44,0))*고양시_Modal_split!I$4 * 0.01</f>
        <v>9.7103177892111798</v>
      </c>
      <c r="AH55" s="207">
        <f>INDEX($A$44:$H$56,MATCH($L55,$B$44:$B$56,0),MATCH($AA$43,$A$44:$H$44,0))*고양시_Modal_split!J$4 * 0.01</f>
        <v>13.142412869880649</v>
      </c>
      <c r="AI55" s="207">
        <f>INDEX($A$44:$H$56,MATCH($L55,$B$44:$B$56,0),MATCH($AA$43,$A$44:$H$44,0))*고양시_Modal_split!K$4 * 0.01</f>
        <v>0</v>
      </c>
      <c r="AJ55" s="207">
        <f>INDEX($A$44:$H$56,MATCH($L55,$B$44:$B$56,0),MATCH($AA$43,$A$44:$H$44,0))*고양시_Modal_split!L$4 * 0.01</f>
        <v>12.891283961538981</v>
      </c>
      <c r="AK55" s="207">
        <f>INDEX($A$44:$H$56,MATCH($L55,$B$44:$B$56,0),MATCH($AA$43,$A$44:$H$44,0))*고양시_Modal_split!M$4 * 0.01</f>
        <v>1.8695152065435321</v>
      </c>
      <c r="AL55" s="207">
        <f>INDEX($A$44:$H$56,MATCH($L55,$B$44:$B$56,0),MATCH($AA$43,$A$44:$H$44,0))*고양시_Modal_split!N$4 * 0.01</f>
        <v>6.9758030094907904</v>
      </c>
      <c r="AM55" s="207">
        <f>INDEX($A$44:$H$56,MATCH($L55,$B$44:$B$56,0),MATCH($AA$43,$A$44:$H$44,0))*고양시_Modal_split!O$4 * 0.01</f>
        <v>3.0135469001000219</v>
      </c>
      <c r="AN55" s="214">
        <f>INDEX($A$44:$H$56,MATCH($L55,$B$44:$B$56,0),MATCH($AA$43,$A$44:$H$44,0))*고양시_Modal_split!P$4 * 0.01</f>
        <v>279.03212037963164</v>
      </c>
      <c r="AO55" s="213">
        <f>INDEX($A$44:$H$56,MATCH($L55,$B$44:$B$56,0),MATCH($AO$43,$A$44:$H$44,0))*고양시_Modal_split!C$5 * 0.01</f>
        <v>7.4209183572866086E-3</v>
      </c>
      <c r="AP55" s="207">
        <f>INDEX($A$44:$H$56,MATCH($L55,$B$44:$B$56,0),MATCH($AO$43,$A$44:$H$44,0))*고양시_Modal_split!D$5 * 0.01</f>
        <v>9.0634149536993789</v>
      </c>
      <c r="AQ55" s="207">
        <f>INDEX($A$44:$H$56,MATCH($L55,$B$44:$B$56,0),MATCH($AO$43,$A$44:$H$44,0))*고양시_Modal_split!E$5 * 0.01</f>
        <v>1.2182674303212184</v>
      </c>
      <c r="AR55" s="207">
        <f>INDEX($A$44:$H$56,MATCH($L55,$B$44:$B$56,0),MATCH($AO$43,$A$44:$H$44,0))*고양시_Modal_split!F$5 * 0.01</f>
        <v>0.25973214250503135</v>
      </c>
      <c r="AS55" s="207">
        <f>INDEX($A$44:$H$56,MATCH($L55,$B$44:$B$56,0),MATCH($AO$43,$A$44:$H$44,0))*고양시_Modal_split!G$5 * 0.01</f>
        <v>8.0393282203938266E-2</v>
      </c>
      <c r="AT55" s="207">
        <f>INDEX($A$44:$H$56,MATCH($L55,$B$44:$B$56,0),MATCH($AO$43,$A$44:$H$44,0))*고양시_Modal_split!H$5 * 0.01</f>
        <v>8.6577380835010428E-3</v>
      </c>
      <c r="AU55" s="207">
        <f>INDEX($A$44:$H$56,MATCH($L55,$B$44:$B$56,0),MATCH($AO$43,$A$44:$H$44,0))*고양시_Modal_split!I$5 * 0.01</f>
        <v>0.34259906416139851</v>
      </c>
      <c r="AV55" s="207">
        <f>INDEX($A$44:$H$56,MATCH($L55,$B$44:$B$56,0),MATCH($AO$43,$A$44:$H$44,0))*고양시_Modal_split!J$5 * 0.01</f>
        <v>0.77548596833645078</v>
      </c>
      <c r="AW55" s="207">
        <f>INDEX($A$44:$H$56,MATCH($L55,$B$44:$B$56,0),MATCH($AO$43,$A$44:$H$44,0))*고양시_Modal_split!K$5 * 0.01</f>
        <v>2.4736394524288701E-3</v>
      </c>
      <c r="AX55" s="207">
        <f>INDEX($A$44:$H$56,MATCH($L55,$B$44:$B$56,0),MATCH($AO$43,$A$44:$H$44,0))*고양시_Modal_split!L$5 * 0.01</f>
        <v>0.3153890301846809</v>
      </c>
      <c r="AY55" s="207">
        <f>INDEX($A$44:$H$56,MATCH($L55,$B$44:$B$56,0),MATCH($AO$43,$A$44:$H$44,0))*고양시_Modal_split!M$5 * 0.01</f>
        <v>8.2866921656367137E-2</v>
      </c>
      <c r="AZ55" s="207">
        <f>INDEX($A$44:$H$56,MATCH($L55,$B$44:$B$56,0),MATCH($AO$43,$A$44:$H$44,0))*고양시_Modal_split!N$5 * 0.01</f>
        <v>2.102593534564539E-2</v>
      </c>
      <c r="BA55" s="207">
        <f>INDEX($A$44:$H$56,MATCH($L55,$B$44:$B$56,0),MATCH($AO$43,$A$44:$H$44,0))*고양시_Modal_split!O$5 * 0.01</f>
        <v>0.19047023783702297</v>
      </c>
      <c r="BB55" s="214">
        <f>INDEX($A$44:$H$56,MATCH($L55,$B$44:$B$56,0),MATCH($AO$43,$A$44:$H$44,0))*고양시_Modal_split!P$5 * 0.01</f>
        <v>12.368197262144347</v>
      </c>
      <c r="BC55" s="213">
        <f>INDEX($A$44:$H$56,MATCH($L55,$B$44:$B$56,0),MATCH($BC$43,$A$44:$H$44,0))*고양시_Modal_split!C$6 * 0.01</f>
        <v>0</v>
      </c>
      <c r="BD55" s="207">
        <f>INDEX($A$44:$H$56,MATCH($L55,$B$44:$B$56,0),MATCH($BC$43,$A$44:$H$44,0))*고양시_Modal_split!D$6 * 0.01</f>
        <v>2.7775197702458804E-2</v>
      </c>
      <c r="BE55" s="207">
        <f>INDEX($A$44:$H$56,MATCH($L55,$B$44:$B$56,0),MATCH($BC$43,$A$44:$H$44,0))*고양시_Modal_split!E$6 * 0.01</f>
        <v>1.4422575790432661E-4</v>
      </c>
      <c r="BF55" s="207">
        <f>INDEX($A$44:$H$56,MATCH($L55,$B$44:$B$56,0),MATCH($BC$43,$A$44:$H$44,0))*고양시_Modal_split!F$6 * 0.01</f>
        <v>4.0919866196111266E-4</v>
      </c>
      <c r="BG55" s="207">
        <f>INDEX($A$44:$H$56,MATCH($L55,$B$44:$B$56,0),MATCH($BC$43,$A$44:$H$44,0))*고양시_Modal_split!G$6 * 0.01</f>
        <v>0</v>
      </c>
      <c r="BH55" s="207">
        <f>INDEX($A$44:$H$56,MATCH($L55,$B$44:$B$56,0),MATCH($BC$43,$A$44:$H$44,0))*고양시_Modal_split!H$6 * 0.01</f>
        <v>1.7810204057487776E-3</v>
      </c>
      <c r="BI55" s="207">
        <f>INDEX($A$44:$H$56,MATCH($L55,$B$44:$B$56,0),MATCH($BC$43,$A$44:$H$44,0))*고양시_Modal_split!I$6 * 0.01</f>
        <v>1.1873469371658516E-3</v>
      </c>
      <c r="BJ55" s="207">
        <f>INDEX($A$44:$H$56,MATCH($L55,$B$44:$B$56,0),MATCH($BC$43,$A$44:$H$44,0))*고양시_Modal_split!J$6 * 0.01</f>
        <v>1.6569191722031939E-3</v>
      </c>
      <c r="BK55" s="207">
        <f>INDEX($A$44:$H$56,MATCH($L55,$B$44:$B$56,0),MATCH($BC$43,$A$44:$H$44,0))*고양시_Modal_split!K$6 * 0.01</f>
        <v>0</v>
      </c>
      <c r="BL55" s="207">
        <f>INDEX($A$44:$H$56,MATCH($L55,$B$44:$B$56,0),MATCH($BC$43,$A$44:$H$44,0))*고양시_Modal_split!L$6 * 0.01</f>
        <v>2.5491064187741446E-4</v>
      </c>
      <c r="BM55" s="207">
        <f>INDEX($A$44:$H$56,MATCH($L55,$B$44:$B$56,0),MATCH($BC$43,$A$44:$H$44,0))*고양시_Modal_split!M$6 * 0.01</f>
        <v>3.0522195277427262E-4</v>
      </c>
      <c r="BN55" s="207">
        <f>INDEX($A$44:$H$56,MATCH($L55,$B$44:$B$56,0),MATCH($BC$43,$A$44:$H$44,0))*고양시_Modal_split!N$6 * 0.01</f>
        <v>0</v>
      </c>
      <c r="BO55" s="207">
        <f>INDEX($A$44:$H$56,MATCH($L55,$B$44:$B$56,0),MATCH($BC$43,$A$44:$H$44,0))*고양시_Modal_split!O$6 * 0.01</f>
        <v>2.6832699144990996E-5</v>
      </c>
      <c r="BP55" s="214">
        <f>INDEX($A$44:$H$56,MATCH($L55,$B$44:$B$56,0),MATCH($BC$43,$A$44:$H$44,0))*고양시_Modal_split!P$6 * 0.01</f>
        <v>3.3540873931238745E-2</v>
      </c>
      <c r="BQ55" s="213">
        <f>INDEX($A$44:$H$56,MATCH($L55,$B$44:$B$56,0),MATCH($BQ$43,$A$44:$H$44,0))*고양시_Modal_split!C$7 * 0.01</f>
        <v>0</v>
      </c>
      <c r="BR55" s="207">
        <f>INDEX($A$44:$H$56,MATCH($L55,$B$44:$B$56,0),MATCH($BQ$43,$A$44:$H$44,0))*고양시_Modal_split!D$7 * 0.01</f>
        <v>5.8235901377679256E-2</v>
      </c>
      <c r="BS55" s="207">
        <f>INDEX($A$44:$H$56,MATCH($L55,$B$44:$B$56,0),MATCH($BQ$43,$A$44:$H$44,0))*고양시_Modal_split!E$7 * 0.01</f>
        <v>2.8414710365414647E-3</v>
      </c>
      <c r="BT55" s="207">
        <f>INDEX($A$44:$H$56,MATCH($L55,$B$44:$B$56,0),MATCH($BQ$43,$A$44:$H$44,0))*고양시_Modal_split!F$7 * 0.01</f>
        <v>9.5032476138510525E-4</v>
      </c>
      <c r="BU55" s="207">
        <f>INDEX($A$44:$H$56,MATCH($L55,$B$44:$B$56,0),MATCH($BQ$43,$A$44:$H$44,0))*고양시_Modal_split!G$7 * 0.01</f>
        <v>3.9913639978174419E-4</v>
      </c>
      <c r="BV55" s="207">
        <f>INDEX($A$44:$H$56,MATCH($L55,$B$44:$B$56,0),MATCH($BQ$43,$A$44:$H$44,0))*고양시_Modal_split!H$7 * 0.01</f>
        <v>5.3123154161427389E-3</v>
      </c>
      <c r="BW55" s="207">
        <f>INDEX($A$44:$H$56,MATCH($L55,$B$44:$B$56,0),MATCH($BQ$43,$A$44:$H$44,0))*고양시_Modal_split!I$7 * 0.01</f>
        <v>1.7742563295059917E-2</v>
      </c>
      <c r="BX55" s="207">
        <f>INDEX($A$44:$H$56,MATCH($L55,$B$44:$B$56,0),MATCH($BQ$43,$A$44:$H$44,0))*고양시_Modal_split!J$7 * 0.01</f>
        <v>1.9006495227702105E-5</v>
      </c>
      <c r="BY55" s="207">
        <f>INDEX($A$44:$H$56,MATCH($L55,$B$44:$B$56,0),MATCH($BQ$43,$A$44:$H$44,0))*고양시_Modal_split!K$7 * 0.01</f>
        <v>7.3175006626653109E-3</v>
      </c>
      <c r="BZ55" s="207">
        <f>INDEX($A$44:$H$56,MATCH($L55,$B$44:$B$56,0),MATCH($BQ$43,$A$44:$H$44,0))*고양시_Modal_split!L$7 * 0.01</f>
        <v>6.652273329695736E-5</v>
      </c>
      <c r="CA55" s="207">
        <f>INDEX($A$44:$H$56,MATCH($L55,$B$44:$B$56,0),MATCH($BQ$43,$A$44:$H$44,0))*고양시_Modal_split!M$7 * 0.01</f>
        <v>1.7771073037901469E-3</v>
      </c>
      <c r="CB55" s="207">
        <f>INDEX($A$44:$H$56,MATCH($L55,$B$44:$B$56,0),MATCH($BQ$43,$A$44:$H$44,0))*고양시_Modal_split!N$7 * 0.01</f>
        <v>3.7062665694019103E-4</v>
      </c>
      <c r="CC55" s="207">
        <f>INDEX($A$44:$H$56,MATCH($L55,$B$44:$B$56,0),MATCH($BQ$43,$A$44:$H$44,0))*고양시_Modal_split!O$7 * 0.01</f>
        <v>0</v>
      </c>
      <c r="CD55" s="214">
        <f>INDEX($A$44:$H$56,MATCH($L55,$B$44:$B$56,0),MATCH($BQ$43,$A$44:$H$44,0))*고양시_Modal_split!P$7 * 0.01</f>
        <v>9.5032476138510541E-2</v>
      </c>
      <c r="CE55" s="218">
        <f t="shared" si="24"/>
        <v>85.045271167807314</v>
      </c>
      <c r="CF55" s="208">
        <f t="shared" si="7"/>
        <v>115.51087013357775</v>
      </c>
      <c r="CG55" s="208">
        <f t="shared" si="8"/>
        <v>24.943799828880884</v>
      </c>
      <c r="CH55" s="208">
        <f t="shared" si="9"/>
        <v>6.2023812024375324</v>
      </c>
      <c r="CI55" s="208">
        <f t="shared" si="10"/>
        <v>33.085578648697663</v>
      </c>
      <c r="CJ55" s="208">
        <f t="shared" si="11"/>
        <v>1.9339388401469607E-2</v>
      </c>
      <c r="CK55" s="208">
        <f t="shared" si="12"/>
        <v>11.069398193514223</v>
      </c>
      <c r="CL55" s="208">
        <f t="shared" si="13"/>
        <v>24.842404089943066</v>
      </c>
      <c r="CM55" s="208">
        <f t="shared" si="14"/>
        <v>6.3615857556249905E-2</v>
      </c>
      <c r="CN55" s="208">
        <f t="shared" si="15"/>
        <v>14.290665402914104</v>
      </c>
      <c r="CO55" s="208">
        <f t="shared" si="16"/>
        <v>2.0369956908662359</v>
      </c>
      <c r="CP55" s="208">
        <f t="shared" si="17"/>
        <v>7.0330827164541461</v>
      </c>
      <c r="CQ55" s="208">
        <f t="shared" si="18"/>
        <v>3.2686336315655766</v>
      </c>
      <c r="CR55" s="219">
        <f t="shared" si="19"/>
        <v>327.41203595261624</v>
      </c>
      <c r="CS55" s="225">
        <f t="shared" si="25"/>
        <v>0</v>
      </c>
      <c r="CV55" s="265"/>
      <c r="CW55" s="266" t="s">
        <v>481</v>
      </c>
      <c r="CX55" s="267">
        <f>INDEX($M$43:$Z$56,MATCH($CW55,$L$43:$L$56,0),MATCH(CX$44,$M$44:$Z$44,0))/INDEX(고양시_재차인원!$D$4:$H$35,MATCH("고양시",고양시_재차인원!$B$4:$B$35,0),MATCH('A.일산테크노밸리(859991)_수정'!$CX$43,고양시_재차인원!$D$4:$H$4,0))</f>
        <v>15.067717031294965</v>
      </c>
      <c r="CY55" s="267">
        <f>INDEX($M$43:$Z$56,MATCH($CW55,$L$43:$L$56,0),MATCH(CY$44,$M$44:$Z$44,0))/INDEX(고양시_재차인원!$K$4:$O$20,MATCH("경기도",고양시_재차인원!$K$4:$K$20,0),MATCH('A.일산테크노밸리(859991)_수정'!CY$44,고양시_재차인원!$K$4:$O$4,0))</f>
        <v>1.246375302562365E-4</v>
      </c>
      <c r="CZ55" s="267">
        <f>INDEX($M$43:$Z$56,MATCH($CW55,$L$43:$L$56,0),MATCH(CZ$44,$M$44:$Z$44,0))/INDEX(고양시_재차인원!$K$4:$O$20,MATCH("경기도",고양시_재차인원!$K$4:$K$20,0),MATCH('A.일산테크노밸리(859991)_수정'!CZ$44,고양시_재차인원!$K$4:$O$4,0))</f>
        <v>3.4649233411233743E-2</v>
      </c>
      <c r="DA55" s="267">
        <f>INDEX($M$43:$Z$56,MATCH($CW55,$L$43:$L$56,0),MATCH(DA$44,$M$44:$Z$44,0))/INDEX(고양시_재차인원!$K$4:$O$20,MATCH("경기도",고양시_재차인원!$K$4:$K$20,0),MATCH('A.일산테크노밸리(859991)_수정'!DA$44,고양시_재차인원!$K$4:$O$4,0))</f>
        <v>0.72244731854351241</v>
      </c>
      <c r="DB55" s="268">
        <f>INDEX($AA$43:$AN$56,MATCH($CW55,$L$43:$L$56,0),MATCH(DB$44,$AA$44:$AN$44,0))/INDEX(고양시_재차인원!$D$4:$H$35,MATCH("고양시",고양시_재차인원!$B$4:$B$35,0),MATCH('A.일산테크노밸리(859991)_수정'!$DB$43,고양시_재차인원!$D$4:$H$4,0))</f>
        <v>63.464965252303458</v>
      </c>
      <c r="DC55" s="267">
        <f>INDEX($AA$43:$AN$56,MATCH($CW55,$L$43:$L$56,0),MATCH(DC$44,$AA$44:$AN$44,0))/INDEX(고양시_재차인원!$K$4:$O$20,MATCH("경기도",고양시_재차인원!$K$4:$K$20,0),MATCH('A.일산테크노밸리(859991)_수정'!DC$44,고양시_재차인원!$K$4:$O$4,0))</f>
        <v>0</v>
      </c>
      <c r="DD55" s="267">
        <f>INDEX($AA$43:$AN$56,MATCH($CW55,$L$43:$L$56,0),MATCH(DD$44,$AA$44:$AN$44,0))/INDEX(고양시_재차인원!$K$4:$O$20,MATCH("경기도",고양시_재차인원!$K$4:$K$20,0),MATCH('A.일산테크노밸리(859991)_수정'!DD$44,고양시_재차인원!$K$4:$O$4,0))</f>
        <v>0.33728092355717887</v>
      </c>
      <c r="DE55" s="267">
        <f>INDEX($AA$43:$AN$56,MATCH($CW55,$L$43:$L$56,0),MATCH(DE$44,$AA$44:$AN$44,0))/INDEX(고양시_재차인원!$K$4:$O$20,MATCH("경기도",고양시_재차인원!$K$4:$K$20,0),MATCH('A.일산테크노밸리(859991)_수정'!DE$44,고양시_재차인원!$K$4:$O$4,0))</f>
        <v>8.5941893076926537</v>
      </c>
      <c r="DF55" s="268">
        <f>INDEX($AO$43:$BB$56,MATCH($CW55,$L$43:$L$56,0),MATCH(DF$44,$AO$44:$BB$44,0))/INDEX(고양시_재차인원!$D$4:$H$35,MATCH("고양시",고양시_재차인원!$B$4:$B$35,0),MATCH('A.일산테크노밸리(859991)_수정'!$DF$43,고양시_재차인원!$D$4:$H$4,0))</f>
        <v>6.9718576566918298</v>
      </c>
      <c r="DG55" s="267">
        <f>INDEX($AO$43:$BB$56,MATCH($CW55,$L$43:$L$56,0),MATCH(DG$44,$AO$44:$BB$44,0))/INDEX(고양시_재차인원!$K$4:$O$20,MATCH("경기도",고양시_재차인원!$K$4:$K$20,0),MATCH('A.일산테크노밸리(859991)_수정'!DG$44,고양시_재차인원!$K$4:$O$4,0))</f>
        <v>3.0072032245575002E-4</v>
      </c>
      <c r="DH55" s="267">
        <f>INDEX($AO$43:$BB$56,MATCH($CW55,$L$43:$L$56,0),MATCH(DH$44,$AO$44:$BB$44,0))/INDEX(고양시_재차인원!$K$4:$O$20,MATCH("경기도",고양시_재차인원!$K$4:$K$20,0),MATCH('A.일산테크노밸리(859991)_수정'!DH$44,고양시_재차인원!$K$4:$O$4,0))</f>
        <v>1.1899932760034683E-2</v>
      </c>
      <c r="DI55" s="267">
        <f>INDEX($AO$43:$BB$56,MATCH($CW55,$L$43:$L$56,0),MATCH(DI$44,$AO$44:$BB$44,0))/INDEX(고양시_재차인원!$K$4:$O$20,MATCH("경기도",고양시_재차인원!$K$4:$K$20,0),MATCH('A.일산테크노밸리(859991)_수정'!DI$44,고양시_재차인원!$K$4:$O$4,0))</f>
        <v>0.21025935345645394</v>
      </c>
      <c r="DJ55" s="268">
        <f>INDEX($BC$43:$BP$56,MATCH($CW55,$L$43:$L$56,0),MATCH(DJ$44,$BC$44:$BP$44,0))/INDEX(고양시_재차인원!$D$4:$H$35,MATCH("고양시",고양시_재차인원!$B$4:$B$35,0),MATCH('A.일산테크노밸리(859991)_수정'!$DJ$43,고양시_재차인원!$D$4:$H$4,0))</f>
        <v>2.0422939487102061E-2</v>
      </c>
      <c r="DK55" s="267">
        <f>INDEX($BC$43:$BP$56,MATCH($CW55,$L$43:$L$56,0),MATCH(DK$44,$BC$44:$BP$44,0))/INDEX(고양시_재차인원!$K$4:$O$20,MATCH("경기도",고양시_재차인원!$K$4:$K$20,0),MATCH('A.일산테크노밸리(859991)_수정'!DK$44,고양시_재차인원!$K$4:$O$4,0))</f>
        <v>6.1862466333754E-5</v>
      </c>
      <c r="DL55" s="267">
        <f>INDEX($BC$43:$BP$56,MATCH($CW55,$L$43:$L$56,0),MATCH(DL$44,$BC$44:$BP$44,0))/INDEX(고양시_재차인원!$K$4:$O$20,MATCH("경기도",고양시_재차인원!$K$4:$K$20,0),MATCH('A.일산테크노밸리(859991)_수정'!DL$44,고양시_재차인원!$K$4:$O$4,0))</f>
        <v>4.1241644222502662E-5</v>
      </c>
      <c r="DM55" s="267">
        <f>INDEX($BC$43:$BP$56,MATCH($CW55,$L$43:$L$56,0),MATCH(DM$44,$BC$44:$BP$44,0))/INDEX(고양시_재차인원!$K$4:$O$20,MATCH("경기도",고양시_재차인원!$K$4:$K$20,0),MATCH('A.일산테크노밸리(859991)_수정'!DM$44,고양시_재차인원!$K$4:$O$4,0))</f>
        <v>1.699404279182763E-4</v>
      </c>
      <c r="DN55" s="268">
        <f>INDEX($BQ$43:$CD$56,MATCH($CW55,$L$43:$L$56,0),MATCH(DN$44,$BQ$44:$CD$44,0))/INDEX(고양시_재차인원!$D$4:$H$35,MATCH("고양시",고양시_재차인원!$B$4:$B$35,0),MATCH('A.일산테크노밸리(859991)_수정'!$DN$43,고양시_재차인원!$D$4:$H$4,0))</f>
        <v>4.621896934736449E-2</v>
      </c>
      <c r="DO55" s="267">
        <f>INDEX($BQ$43:$CD$56,MATCH($CW55,$L$43:$L$56,0),MATCH(DO$44,$BQ$44:$CD$44,0))/INDEX(고양시_재차인원!$K$4:$O$20,MATCH("경기도",고양시_재차인원!$K$4:$K$20,0),MATCH('A.일산테크노밸리(859991)_수정'!DO$44,고양시_재차인원!$K$4:$O$4,0))</f>
        <v>1.8451946565275232E-4</v>
      </c>
      <c r="DP55" s="267">
        <f>INDEX($BQ$43:$CD$56,MATCH($CW55,$L$43:$L$56,0),MATCH(DP$44,$BQ$44:$CD$44,0))/INDEX(고양시_재차인원!$K$4:$O$20,MATCH("경기도",고양시_재차인원!$K$4:$K$20,0),MATCH('A.일산테크노밸리(859991)_수정'!DP$44,고양시_재차인원!$K$4:$O$4,0))</f>
        <v>6.1627520997082036E-4</v>
      </c>
      <c r="DQ55" s="267">
        <f>INDEX($BQ$43:$CD$56,MATCH($CW55,$L$43:$L$56,0),MATCH(DQ$44,$BQ$44:$CD$44,0))/INDEX(고양시_재차인원!$K$4:$O$20,MATCH("경기도",고양시_재차인원!$K$4:$K$20,0),MATCH('A.일산테크노밸리(859991)_수정'!DQ$44,고양시_재차인원!$K$4:$O$4,0))</f>
        <v>4.434848886463824E-5</v>
      </c>
      <c r="DR55" s="269">
        <f t="shared" si="26"/>
        <v>85.571181849124713</v>
      </c>
      <c r="DS55" s="270">
        <f t="shared" si="20"/>
        <v>6.7173978469849279E-4</v>
      </c>
      <c r="DT55" s="270">
        <f t="shared" si="21"/>
        <v>0.38448760658264058</v>
      </c>
      <c r="DU55" s="270">
        <f t="shared" si="22"/>
        <v>9.5271102686094036</v>
      </c>
      <c r="DW55" s="278"/>
      <c r="DX55" s="278"/>
      <c r="DY55" s="281" t="b">
        <f>SUM(DY45:DY53)=DY54</f>
        <v>1</v>
      </c>
      <c r="DZ55" s="281" t="b">
        <f>SUM(DZ45:DZ53)=DZ54</f>
        <v>1</v>
      </c>
      <c r="EC55" s="412" t="s">
        <v>15</v>
      </c>
      <c r="ED55" s="412" t="s">
        <v>84</v>
      </c>
      <c r="EE55" s="412">
        <v>5030.8546999999999</v>
      </c>
      <c r="EF55" s="412">
        <v>2.3365252236241602E-2</v>
      </c>
      <c r="EG55" s="413">
        <v>859011</v>
      </c>
      <c r="EH55" s="414">
        <f t="shared" si="29"/>
        <v>182.0247186813971</v>
      </c>
      <c r="EI55" s="415">
        <f t="shared" si="30"/>
        <v>0.7372216693779271</v>
      </c>
      <c r="EJ55" s="402">
        <v>0</v>
      </c>
      <c r="EM55" s="278" t="s">
        <v>15</v>
      </c>
      <c r="EN55" s="278" t="s">
        <v>84</v>
      </c>
      <c r="EO55" s="278">
        <v>5030.8546999999999</v>
      </c>
      <c r="EP55" s="278">
        <v>2.3365252236241602E-2</v>
      </c>
      <c r="EQ55" s="289">
        <v>859011</v>
      </c>
      <c r="ER55" s="290">
        <f t="shared" si="31"/>
        <v>182.0247186813971</v>
      </c>
      <c r="ES55" s="291">
        <f t="shared" si="23"/>
        <v>0.7372216693779271</v>
      </c>
      <c r="ET55" s="402">
        <v>0</v>
      </c>
      <c r="EV55" s="34"/>
      <c r="EW55" s="34"/>
      <c r="EX55" s="34"/>
      <c r="EY55" s="34"/>
      <c r="EZ55" s="378"/>
      <c r="FA55" s="401"/>
      <c r="FB55" s="402"/>
      <c r="FC55" s="402"/>
    </row>
    <row r="56" spans="1:159" ht="38.25" customHeight="1" thickBot="1">
      <c r="A56" s="205"/>
      <c r="B56" s="205" t="s">
        <v>26</v>
      </c>
      <c r="C56" s="400">
        <f>'A.일산테크노밸리(859991)_수정'!$P39*KTDB_TripDistribution_2040!L$12 * (1 + KTDB_발생량도착량_증가율!$D$7*5) * (1 + KTDB_발생량도착량_증가율!$E$7*5) * (1 + KTDB_발생량도착량_증가율!$F$7*5)</f>
        <v>4282.1943806091585</v>
      </c>
      <c r="D56" s="400">
        <f>'A.일산테크노밸리(859991)_수정'!$P39*KTDB_TripDistribution_2040!M$12 * (1 + KTDB_발생량도착량_증가율!$D$7*5) * (1 + KTDB_발생량도착량_증가율!$E$7*5) * (1 + KTDB_발생량도착량_증가율!$F$7*5)</f>
        <v>33298.914551815811</v>
      </c>
      <c r="E56" s="400">
        <f>'A.일산테크노밸리(859991)_수정'!$P39*KTDB_TripDistribution_2040!N$12 * (1 + KTDB_발생량도착량_증가율!$D$7*5) * (1 + KTDB_발생량도착량_증가율!$E$7*5) * (1 + KTDB_발생량도착량_증가율!$F$7*5)</f>
        <v>1475.9861453649703</v>
      </c>
      <c r="F56" s="400">
        <f>'A.일산테크노밸리(859991)_수정'!$P39*KTDB_TripDistribution_2040!O$12 * (1 + KTDB_발생량도착량_증가율!$D$7*5) * (1 + KTDB_발생량도착량_증가율!$E$7*5) * (1 + KTDB_발생량도착량_증가율!$F$7*5)</f>
        <v>4.0026742925151542</v>
      </c>
      <c r="G56" s="400">
        <f>'A.일산테크노밸리(859991)_수정'!$P39*KTDB_TripDistribution_2040!P$12 * (1 + KTDB_발생량도착량_증가율!$D$7*5) * (1 + KTDB_발생량도착량_증가율!$E$7*5) * (1 + KTDB_발생량도착량_증가율!$F$7*5)</f>
        <v>11.34091049545969</v>
      </c>
      <c r="H56" s="400">
        <f>'A.일산테크노밸리(859991)_수정'!$P39*KTDB_TripDistribution_2040!Q$12 * (1 + KTDB_발생량도착량_증가율!$D$7*5) * (1 + KTDB_발생량도착량_증가율!$E$7*5) * (1 + KTDB_발생량도착량_증가율!$F$7*5)</f>
        <v>39072.438662577915</v>
      </c>
      <c r="I56" t="b">
        <f>H56=$P$39</f>
        <v>0</v>
      </c>
      <c r="J56" s="230">
        <f t="shared" si="6"/>
        <v>39072.438662577923</v>
      </c>
      <c r="K56" s="206"/>
      <c r="L56" s="209" t="s">
        <v>26</v>
      </c>
      <c r="M56" s="215">
        <f>INDEX($A$44:$H$56,MATCH($L56,$B$44:$B$56,0),MATCH($M$43,$A$44:$H$44,0))*고양시_Modal_split!C$3 * 0.01</f>
        <v>11.990144265705641</v>
      </c>
      <c r="N56" s="216">
        <f>INDEX($A$44:$H$56,MATCH($L56,$B$44:$B$56,0),MATCH($M$43,$A$44:$H$44,0))*고양시_Modal_split!D$3 * 0.01</f>
        <v>2013.9160172004872</v>
      </c>
      <c r="O56" s="216">
        <f>INDEX($A$44:$H$56,MATCH($L56,$B$44:$B$56,0),MATCH($M$43,$A$44:$H$44,0))*고양시_Modal_split!E$3 * 0.01</f>
        <v>243.6568602566611</v>
      </c>
      <c r="P56" s="216">
        <f>INDEX($A$44:$H$56,MATCH($L56,$B$44:$B$56,0),MATCH($M$43,$A$44:$H$44,0))*고양시_Modal_split!F$3 * 0.01</f>
        <v>392.67722470185981</v>
      </c>
      <c r="Q56" s="216">
        <f>INDEX($A$44:$H$56,MATCH($L56,$B$44:$B$56,0),MATCH($M$43,$A$44:$H$44,0))*고양시_Modal_split!G$3 * 0.01</f>
        <v>39.396188301604255</v>
      </c>
      <c r="R56" s="216">
        <f>INDEX($A$44:$H$56,MATCH($L56,$B$44:$B$56,0),MATCH($M$43,$A$44:$H$44,0))*고양시_Modal_split!H$3 * 0.01</f>
        <v>0.42821943806091589</v>
      </c>
      <c r="S56" s="216">
        <f>INDEX($A$44:$H$56,MATCH($L56,$B$44:$B$56,0),MATCH($M$43,$A$44:$H$44,0))*고양시_Modal_split!I$3 * 0.01</f>
        <v>119.04500378093461</v>
      </c>
      <c r="T56" s="216">
        <f>INDEX($A$44:$H$56,MATCH($L56,$B$44:$B$56,0),MATCH($M$43,$A$44:$H$44,0))*고양시_Modal_split!J$3 * 0.01</f>
        <v>1303.4999694574281</v>
      </c>
      <c r="U56" s="216">
        <f>INDEX($A$44:$H$56,MATCH($L56,$B$44:$B$56,0),MATCH($M$43,$A$44:$H$44,0))*고양시_Modal_split!K$3 * 0.01</f>
        <v>6.4232915709137375</v>
      </c>
      <c r="V56" s="216">
        <f>INDEX($A$44:$H$56,MATCH($L56,$B$44:$B$56,0),MATCH($M$43,$A$44:$H$44,0))*고양시_Modal_split!L$3 * 0.01</f>
        <v>129.32227029439659</v>
      </c>
      <c r="W56" s="216">
        <f>INDEX($A$44:$H$56,MATCH($L56,$B$44:$B$56,0),MATCH($M$43,$A$44:$H$44,0))*고양시_Modal_split!M$3 * 0.01</f>
        <v>9.8490470754010637</v>
      </c>
      <c r="X56" s="216">
        <f>INDEX($A$44:$H$56,MATCH($L56,$B$44:$B$56,0),MATCH($M$43,$A$44:$H$44,0))*고양시_Modal_split!N$3 * 0.01</f>
        <v>4.2821943806091589</v>
      </c>
      <c r="Y56" s="216">
        <f>INDEX($A$44:$H$56,MATCH($L56,$B$44:$B$56,0),MATCH($M$43,$A$44:$H$44,0))*고양시_Modal_split!O$3 * 0.01</f>
        <v>7.7079498850964852</v>
      </c>
      <c r="Z56" s="217">
        <f>INDEX($A$44:$H$56,MATCH($L56,$B$44:$B$56,0),MATCH($M$43,$A$44:$H$44,0))*고양시_Modal_split!P$3 * 0.01</f>
        <v>4282.1943806091585</v>
      </c>
      <c r="AA56" s="215">
        <f>INDEX($A$44:$H$56,MATCH($L56,$B$44:$B$56,0),MATCH($AA$43,$A$44:$H$44,0))*고양시_Modal_split!C$4 * 0.01</f>
        <v>10136.189589572734</v>
      </c>
      <c r="AB56" s="216">
        <f>INDEX($A$44:$H$56,MATCH($L56,$B$44:$B$56,0),MATCH($AA$43,$A$44:$H$44,0))*고양시_Modal_split!D$4 * 0.01</f>
        <v>10678.96189676733</v>
      </c>
      <c r="AC56" s="216">
        <f>INDEX($A$44:$H$56,MATCH($L56,$B$44:$B$56,0),MATCH($AA$43,$A$44:$H$44,0))*고양시_Modal_split!E$4 * 0.01</f>
        <v>2587.3256606760888</v>
      </c>
      <c r="AD56" s="216">
        <f>INDEX($A$44:$H$56,MATCH($L56,$B$44:$B$56,0),MATCH($AA$43,$A$44:$H$44,0))*고양시_Modal_split!F$4 * 0.01</f>
        <v>316.33968824225019</v>
      </c>
      <c r="AE56" s="216">
        <f>INDEX($A$44:$H$56,MATCH($L56,$B$44:$B$56,0),MATCH($AA$43,$A$44:$H$44,0))*고양시_Modal_split!G$4 * 0.01</f>
        <v>3899.3028940176314</v>
      </c>
      <c r="AF56" s="216">
        <f>INDEX($A$44:$H$56,MATCH($L56,$B$44:$B$56,0),MATCH($AA$43,$A$44:$H$44,0))*고양시_Modal_split!H$4 * 0.01</f>
        <v>0</v>
      </c>
      <c r="AG56" s="216">
        <f>INDEX($A$44:$H$56,MATCH($L56,$B$44:$B$56,0),MATCH($AA$43,$A$44:$H$44,0))*고양시_Modal_split!I$4 * 0.01</f>
        <v>1158.8022264031902</v>
      </c>
      <c r="AH56" s="216">
        <f>INDEX($A$44:$H$56,MATCH($L56,$B$44:$B$56,0),MATCH($AA$43,$A$44:$H$44,0))*고양시_Modal_split!J$4 * 0.01</f>
        <v>1568.3788753905246</v>
      </c>
      <c r="AI56" s="216">
        <f>INDEX($A$44:$H$56,MATCH($L56,$B$44:$B$56,0),MATCH($AA$43,$A$44:$H$44,0))*고양시_Modal_split!K$4 * 0.01</f>
        <v>0</v>
      </c>
      <c r="AJ56" s="216">
        <f>INDEX($A$44:$H$56,MATCH($L56,$B$44:$B$56,0),MATCH($AA$43,$A$44:$H$44,0))*고양시_Modal_split!L$4 * 0.01</f>
        <v>1538.4098522938905</v>
      </c>
      <c r="AK56" s="216">
        <f>INDEX($A$44:$H$56,MATCH($L56,$B$44:$B$56,0),MATCH($AA$43,$A$44:$H$44,0))*고양시_Modal_split!M$4 * 0.01</f>
        <v>223.10272749716594</v>
      </c>
      <c r="AL56" s="216">
        <f>INDEX($A$44:$H$56,MATCH($L56,$B$44:$B$56,0),MATCH($AA$43,$A$44:$H$44,0))*고양시_Modal_split!N$4 * 0.01</f>
        <v>832.47286379539526</v>
      </c>
      <c r="AM56" s="216">
        <f>INDEX($A$44:$H$56,MATCH($L56,$B$44:$B$56,0),MATCH($AA$43,$A$44:$H$44,0))*고양시_Modal_split!O$4 * 0.01</f>
        <v>359.62827715961083</v>
      </c>
      <c r="AN56" s="217">
        <f>INDEX($A$44:$H$56,MATCH($L56,$B$44:$B$56,0),MATCH($AA$43,$A$44:$H$44,0))*고양시_Modal_split!P$4 * 0.01</f>
        <v>33298.914551815811</v>
      </c>
      <c r="AO56" s="215">
        <f>INDEX($A$44:$H$56,MATCH($L56,$B$44:$B$56,0),MATCH($AO$43,$A$44:$H$44,0))*고양시_Modal_split!C$5 * 0.01</f>
        <v>0.88559168721898218</v>
      </c>
      <c r="AP56" s="216">
        <f>INDEX($A$44:$H$56,MATCH($L56,$B$44:$B$56,0),MATCH($AO$43,$A$44:$H$44,0))*고양시_Modal_split!D$5 * 0.01</f>
        <v>1081.6026473234501</v>
      </c>
      <c r="AQ56" s="216">
        <f>INDEX($A$44:$H$56,MATCH($L56,$B$44:$B$56,0),MATCH($AO$43,$A$44:$H$44,0))*고양시_Modal_split!E$5 * 0.01</f>
        <v>145.38463531844957</v>
      </c>
      <c r="AR56" s="216">
        <f>INDEX($A$44:$H$56,MATCH($L56,$B$44:$B$56,0),MATCH($AO$43,$A$44:$H$44,0))*고양시_Modal_split!F$5 * 0.01</f>
        <v>30.995709052664381</v>
      </c>
      <c r="AS56" s="216">
        <f>INDEX($A$44:$H$56,MATCH($L56,$B$44:$B$56,0),MATCH($AO$43,$A$44:$H$44,0))*고양시_Modal_split!G$5 * 0.01</f>
        <v>9.5939099448723066</v>
      </c>
      <c r="AT56" s="216">
        <f>INDEX($A$44:$H$56,MATCH($L56,$B$44:$B$56,0),MATCH($AO$43,$A$44:$H$44,0))*고양시_Modal_split!H$5 * 0.01</f>
        <v>1.0331903017554791</v>
      </c>
      <c r="AU56" s="216">
        <f>INDEX($A$44:$H$56,MATCH($L56,$B$44:$B$56,0),MATCH($AO$43,$A$44:$H$44,0))*고양시_Modal_split!I$5 * 0.01</f>
        <v>40.884816226609679</v>
      </c>
      <c r="AV56" s="216">
        <f>INDEX($A$44:$H$56,MATCH($L56,$B$44:$B$56,0),MATCH($AO$43,$A$44:$H$44,0))*고양시_Modal_split!J$5 * 0.01</f>
        <v>92.544331314383655</v>
      </c>
      <c r="AW56" s="216">
        <f>INDEX($A$44:$H$56,MATCH($L56,$B$44:$B$56,0),MATCH($AO$43,$A$44:$H$44,0))*고양시_Modal_split!K$5 * 0.01</f>
        <v>0.29519722907299406</v>
      </c>
      <c r="AX56" s="216">
        <f>INDEX($A$44:$H$56,MATCH($L56,$B$44:$B$56,0),MATCH($AO$43,$A$44:$H$44,0))*고양시_Modal_split!L$5 * 0.01</f>
        <v>37.637646706806741</v>
      </c>
      <c r="AY56" s="216">
        <f>INDEX($A$44:$H$56,MATCH($L56,$B$44:$B$56,0),MATCH($AO$43,$A$44:$H$44,0))*고양시_Modal_split!M$5 * 0.01</f>
        <v>9.8891071739453018</v>
      </c>
      <c r="AZ56" s="216">
        <f>INDEX($A$44:$H$56,MATCH($L56,$B$44:$B$56,0),MATCH($AO$43,$A$44:$H$44,0))*고양시_Modal_split!N$5 * 0.01</f>
        <v>2.5091764471204492</v>
      </c>
      <c r="BA56" s="216">
        <f>INDEX($A$44:$H$56,MATCH($L56,$B$44:$B$56,0),MATCH($AO$43,$A$44:$H$44,0))*고양시_Modal_split!O$5 * 0.01</f>
        <v>22.730186638620545</v>
      </c>
      <c r="BB56" s="217">
        <f>INDEX($A$44:$H$56,MATCH($L56,$B$44:$B$56,0),MATCH($AO$43,$A$44:$H$44,0))*고양시_Modal_split!P$5 * 0.01</f>
        <v>1475.9861453649701</v>
      </c>
      <c r="BC56" s="215">
        <f>INDEX($A$44:$H$56,MATCH($L56,$B$44:$B$56,0),MATCH($BC$43,$A$44:$H$44,0))*고양시_Modal_split!C$6 * 0.01</f>
        <v>0</v>
      </c>
      <c r="BD56" s="216">
        <f>INDEX($A$44:$H$56,MATCH($L56,$B$44:$B$56,0),MATCH($BC$43,$A$44:$H$44,0))*고양시_Modal_split!D$6 * 0.01</f>
        <v>3.3146145816317989</v>
      </c>
      <c r="BE56" s="216">
        <f>INDEX($A$44:$H$56,MATCH($L56,$B$44:$B$56,0),MATCH($BC$43,$A$44:$H$44,0))*고양시_Modal_split!E$6 * 0.01</f>
        <v>1.7211499457815162E-2</v>
      </c>
      <c r="BF56" s="216">
        <f>INDEX($A$44:$H$56,MATCH($L56,$B$44:$B$56,0),MATCH($BC$43,$A$44:$H$44,0))*고양시_Modal_split!F$6 * 0.01</f>
        <v>4.8832626368684878E-2</v>
      </c>
      <c r="BG56" s="216">
        <f>INDEX($A$44:$H$56,MATCH($L56,$B$44:$B$56,0),MATCH($BC$43,$A$44:$H$44,0))*고양시_Modal_split!G$6 * 0.01</f>
        <v>0</v>
      </c>
      <c r="BH56" s="216">
        <f>INDEX($A$44:$H$56,MATCH($L56,$B$44:$B$56,0),MATCH($BC$43,$A$44:$H$44,0))*고양시_Modal_split!H$6 * 0.01</f>
        <v>0.21254200493255471</v>
      </c>
      <c r="BI56" s="216">
        <f>INDEX($A$44:$H$56,MATCH($L56,$B$44:$B$56,0),MATCH($BC$43,$A$44:$H$44,0))*고양시_Modal_split!I$6 * 0.01</f>
        <v>0.14169466995503646</v>
      </c>
      <c r="BJ56" s="216">
        <f>INDEX($A$44:$H$56,MATCH($L56,$B$44:$B$56,0),MATCH($BC$43,$A$44:$H$44,0))*고양시_Modal_split!J$6 * 0.01</f>
        <v>0.1977321100502486</v>
      </c>
      <c r="BK56" s="216">
        <f>INDEX($A$44:$H$56,MATCH($L56,$B$44:$B$56,0),MATCH($BC$43,$A$44:$H$44,0))*고양시_Modal_split!K$6 * 0.01</f>
        <v>0</v>
      </c>
      <c r="BL56" s="216">
        <f>INDEX($A$44:$H$56,MATCH($L56,$B$44:$B$56,0),MATCH($BC$43,$A$44:$H$44,0))*고양시_Modal_split!L$6 * 0.01</f>
        <v>3.0420324623115173E-2</v>
      </c>
      <c r="BM56" s="216">
        <f>INDEX($A$44:$H$56,MATCH($L56,$B$44:$B$56,0),MATCH($BC$43,$A$44:$H$44,0))*고양시_Modal_split!M$6 * 0.01</f>
        <v>3.6424336061887906E-2</v>
      </c>
      <c r="BN56" s="216">
        <f>INDEX($A$44:$H$56,MATCH($L56,$B$44:$B$56,0),MATCH($BC$43,$A$44:$H$44,0))*고양시_Modal_split!N$6 * 0.01</f>
        <v>0</v>
      </c>
      <c r="BO56" s="216">
        <f>INDEX($A$44:$H$56,MATCH($L56,$B$44:$B$56,0),MATCH($BC$43,$A$44:$H$44,0))*고양시_Modal_split!O$6 * 0.01</f>
        <v>3.2021394340121237E-3</v>
      </c>
      <c r="BP56" s="217">
        <f>INDEX($A$44:$H$56,MATCH($L56,$B$44:$B$56,0),MATCH($BC$43,$A$44:$H$44,0))*고양시_Modal_split!P$6 * 0.01</f>
        <v>4.0026742925151542</v>
      </c>
      <c r="BQ56" s="215">
        <f>INDEX($A$44:$H$56,MATCH($L56,$B$44:$B$56,0),MATCH($BQ$43,$A$44:$H$44,0))*고양시_Modal_split!C$7 * 0.01</f>
        <v>0</v>
      </c>
      <c r="BR56" s="216">
        <f>INDEX($A$44:$H$56,MATCH($L56,$B$44:$B$56,0),MATCH($BQ$43,$A$44:$H$44,0))*고양시_Modal_split!D$7 * 0.01</f>
        <v>6.9497099516176979</v>
      </c>
      <c r="BS56" s="216">
        <f>INDEX($A$44:$H$56,MATCH($L56,$B$44:$B$56,0),MATCH($BQ$43,$A$44:$H$44,0))*고양시_Modal_split!E$7 * 0.01</f>
        <v>0.33909322381424473</v>
      </c>
      <c r="BT56" s="216">
        <f>INDEX($A$44:$H$56,MATCH($L56,$B$44:$B$56,0),MATCH($BQ$43,$A$44:$H$44,0))*고양시_Modal_split!F$7 * 0.01</f>
        <v>0.1134091049545969</v>
      </c>
      <c r="BU56" s="216">
        <f>INDEX($A$44:$H$56,MATCH($L56,$B$44:$B$56,0),MATCH($BQ$43,$A$44:$H$44,0))*고양시_Modal_split!G$7 * 0.01</f>
        <v>4.7631824080930703E-2</v>
      </c>
      <c r="BV56" s="216">
        <f>INDEX($A$44:$H$56,MATCH($L56,$B$44:$B$56,0),MATCH($BQ$43,$A$44:$H$44,0))*고양시_Modal_split!H$7 * 0.01</f>
        <v>0.6339568966961967</v>
      </c>
      <c r="BW56" s="216">
        <f>INDEX($A$44:$H$56,MATCH($L56,$B$44:$B$56,0),MATCH($BQ$43,$A$44:$H$44,0))*고양시_Modal_split!I$7 * 0.01</f>
        <v>2.1173479895023242</v>
      </c>
      <c r="BX56" s="216">
        <f>INDEX($A$44:$H$56,MATCH($L56,$B$44:$B$56,0),MATCH($BQ$43,$A$44:$H$44,0))*고양시_Modal_split!J$7 * 0.01</f>
        <v>2.2681820990919379E-3</v>
      </c>
      <c r="BY56" s="216">
        <f>INDEX($A$44:$H$56,MATCH($L56,$B$44:$B$56,0),MATCH($BQ$43,$A$44:$H$44,0))*고양시_Modal_split!K$7 * 0.01</f>
        <v>0.87325010815039616</v>
      </c>
      <c r="BZ56" s="216">
        <f>INDEX($A$44:$H$56,MATCH($L56,$B$44:$B$56,0),MATCH($BQ$43,$A$44:$H$44,0))*고양시_Modal_split!L$7 * 0.01</f>
        <v>7.9386373468217815E-3</v>
      </c>
      <c r="CA56" s="216">
        <f>INDEX($A$44:$H$56,MATCH($L56,$B$44:$B$56,0),MATCH($BQ$43,$A$44:$H$44,0))*고양시_Modal_split!M$7 * 0.01</f>
        <v>0.21207502626509622</v>
      </c>
      <c r="CB56" s="216">
        <f>INDEX($A$44:$H$56,MATCH($L56,$B$44:$B$56,0),MATCH($BQ$43,$A$44:$H$44,0))*고양시_Modal_split!N$7 * 0.01</f>
        <v>4.4229550932292784E-2</v>
      </c>
      <c r="CC56" s="216">
        <f>INDEX($A$44:$H$56,MATCH($L56,$B$44:$B$56,0),MATCH($BQ$43,$A$44:$H$44,0))*고양시_Modal_split!O$7 * 0.01</f>
        <v>0</v>
      </c>
      <c r="CD56" s="217">
        <f>INDEX($A$44:$H$56,MATCH($L56,$B$44:$B$56,0),MATCH($BQ$43,$A$44:$H$44,0))*고양시_Modal_split!P$7 * 0.01</f>
        <v>11.340910495459692</v>
      </c>
      <c r="CE56" s="220">
        <f t="shared" si="24"/>
        <v>10149.06532552566</v>
      </c>
      <c r="CF56" s="221">
        <f t="shared" si="7"/>
        <v>13784.744885824517</v>
      </c>
      <c r="CG56" s="221">
        <f t="shared" si="8"/>
        <v>2976.7234609744719</v>
      </c>
      <c r="CH56" s="221">
        <f t="shared" si="9"/>
        <v>740.17486372809776</v>
      </c>
      <c r="CI56" s="221">
        <f t="shared" si="10"/>
        <v>3948.3406240881886</v>
      </c>
      <c r="CJ56" s="221">
        <f t="shared" si="11"/>
        <v>2.3079086414451466</v>
      </c>
      <c r="CK56" s="221">
        <f t="shared" si="12"/>
        <v>1320.9910890701919</v>
      </c>
      <c r="CL56" s="221">
        <f t="shared" si="13"/>
        <v>2964.6231764544859</v>
      </c>
      <c r="CM56" s="221">
        <f t="shared" si="14"/>
        <v>7.5917389081371276</v>
      </c>
      <c r="CN56" s="221">
        <f t="shared" si="15"/>
        <v>1705.4081282570635</v>
      </c>
      <c r="CO56" s="221">
        <f t="shared" si="16"/>
        <v>243.08938110883929</v>
      </c>
      <c r="CP56" s="221">
        <f t="shared" si="17"/>
        <v>839.30846417405724</v>
      </c>
      <c r="CQ56" s="221">
        <f t="shared" si="18"/>
        <v>390.06961582276182</v>
      </c>
      <c r="CR56" s="222">
        <f t="shared" si="19"/>
        <v>39072.438662577923</v>
      </c>
      <c r="CS56" s="225">
        <f t="shared" si="25"/>
        <v>0</v>
      </c>
      <c r="CV56" s="265"/>
      <c r="CW56" s="266" t="s">
        <v>26</v>
      </c>
      <c r="CX56" s="267">
        <f>INDEX($M$43:$Z$56,MATCH($CW56,$L$43:$L$56,0),MATCH(CX$44,$M$44:$Z$44,0))/INDEX(고양시_재차인원!$D$4:$H$35,MATCH("고양시",고양시_재차인원!$B$4:$B$35,0),MATCH('A.일산테크노밸리(859991)_수정'!$CX$43,고양시_재차인원!$D$4:$H$4,0))</f>
        <v>1798.1393010718634</v>
      </c>
      <c r="CY56" s="267">
        <f>INDEX($M$43:$Z$56,MATCH($CW56,$L$43:$L$56,0),MATCH(CY$44,$M$44:$Z$44,0))/INDEX(고양시_재차인원!$K$4:$O$20,MATCH("경기도",고양시_재차인원!$K$4:$K$20,0),MATCH('A.일산테크노밸리(859991)_수정'!CY$44,고양시_재차인원!$K$4:$O$4,0))</f>
        <v>1.4873895035113438E-2</v>
      </c>
      <c r="CZ56" s="267">
        <f>INDEX($M$43:$Z$56,MATCH($CW56,$L$43:$L$56,0),MATCH(CZ$44,$M$44:$Z$44,0))/INDEX(고양시_재차인원!$K$4:$O$20,MATCH("경기도",고양시_재차인원!$K$4:$K$20,0),MATCH('A.일산테크노밸리(859991)_수정'!CZ$44,고양시_재차인원!$K$4:$O$4,0))</f>
        <v>4.1349428197615357</v>
      </c>
      <c r="DA56" s="267">
        <f>INDEX($M$43:$Z$56,MATCH($CW56,$L$43:$L$56,0),MATCH(DA$44,$M$44:$Z$44,0))/INDEX(고양시_재차인원!$K$4:$O$20,MATCH("경기도",고양시_재차인원!$K$4:$K$20,0),MATCH('A.일산테크노밸리(859991)_수정'!DA$44,고양시_재차인원!$K$4:$O$4,0))</f>
        <v>86.214846862931054</v>
      </c>
      <c r="DB56" s="272">
        <f>INDEX($AA$43:$AN$56,MATCH($CW56,$L$43:$L$56,0),MATCH(DB$44,$AA$44:$AN$44,0))/INDEX(고양시_재차인원!$D$4:$H$35,MATCH("고양시",고양시_재차인원!$B$4:$B$35,0),MATCH('A.일산테크노밸리(859991)_수정'!$DB$43,고양시_재차인원!$D$4:$H$4,0))</f>
        <v>7573.7318416789585</v>
      </c>
      <c r="DC56" s="273">
        <f>INDEX($AA$43:$AN$56,MATCH($CW56,$L$43:$L$56,0),MATCH(DC$44,$AA$44:$AN$44,0))/INDEX(고양시_재차인원!$K$4:$O$20,MATCH("경기도",고양시_재차인원!$K$4:$K$20,0),MATCH('A.일산테크노밸리(859991)_수정'!DC$44,고양시_재차인원!$K$4:$O$4,0))</f>
        <v>0</v>
      </c>
      <c r="DD56" s="273">
        <f>INDEX($AA$43:$AN$56,MATCH($CW56,$L$43:$L$56,0),MATCH(DD$44,$AA$44:$AN$44,0))/INDEX(고양시_재차인원!$K$4:$O$20,MATCH("경기도",고양시_재차인원!$K$4:$K$20,0),MATCH('A.일산테크노밸리(859991)_수정'!DD$44,고양시_재차인원!$K$4:$O$4,0))</f>
        <v>40.250164168224735</v>
      </c>
      <c r="DE56" s="273">
        <f>INDEX($AA$43:$AN$56,MATCH($CW56,$L$43:$L$56,0),MATCH(DE$44,$AA$44:$AN$44,0))/INDEX(고양시_재차인원!$K$4:$O$20,MATCH("경기도",고양시_재차인원!$K$4:$K$20,0),MATCH('A.일산테크노밸리(859991)_수정'!DE$44,고양시_재차인원!$K$4:$O$4,0))</f>
        <v>1025.6065681959269</v>
      </c>
      <c r="DF56" s="272">
        <f>INDEX($AO$43:$BB$56,MATCH($CW56,$L$43:$L$56,0),MATCH(DF$44,$AO$44:$BB$44,0))/INDEX(고양시_재차인원!$D$4:$H$35,MATCH("고양시",고양시_재차인원!$B$4:$B$35,0),MATCH('A.일산테크노밸리(859991)_수정'!$DF$43,고양시_재차인원!$D$4:$H$4,0))</f>
        <v>832.00203640265397</v>
      </c>
      <c r="DG56" s="273">
        <f>INDEX($AO$43:$BB$56,MATCH($CW56,$L$43:$L$56,0),MATCH(DG$44,$AO$44:$BB$44,0))/INDEX(고양시_재차인원!$K$4:$O$20,MATCH("경기도",고양시_재차인원!$K$4:$K$20,0),MATCH('A.일산테크노밸리(859991)_수정'!DG$44,고양시_재차인원!$K$4:$O$4,0))</f>
        <v>3.5887124062364682E-2</v>
      </c>
      <c r="DH56" s="273">
        <f>INDEX($AO$43:$BB$56,MATCH($CW56,$L$43:$L$56,0),MATCH(DH$44,$AO$44:$BB$44,0))/INDEX(고양시_재차인원!$K$4:$O$20,MATCH("경기도",고양시_재차인원!$K$4:$K$20,0),MATCH('A.일산테크노밸리(859991)_수정'!DH$44,고양시_재차인원!$K$4:$O$4,0))</f>
        <v>1.4201047664678597</v>
      </c>
      <c r="DI56" s="273">
        <f>INDEX($AO$43:$BB$56,MATCH($CW56,$L$43:$L$56,0),MATCH(DI$44,$AO$44:$BB$44,0))/INDEX(고양시_재차인원!$K$4:$O$20,MATCH("경기도",고양시_재차인원!$K$4:$K$20,0),MATCH('A.일산테크노밸리(859991)_수정'!DI$44,고양시_재차인원!$K$4:$O$4,0))</f>
        <v>25.091764471204495</v>
      </c>
      <c r="DJ56" s="272">
        <f>INDEX($BC$43:$BP$56,MATCH($CW56,$L$43:$L$56,0),MATCH(DJ$44,$BC$44:$BP$44,0))/INDEX(고양시_재차인원!$D$4:$H$35,MATCH("고양시",고양시_재차인원!$B$4:$B$35,0),MATCH('A.일산테크노밸리(859991)_수정'!$DJ$43,고양시_재차인원!$D$4:$H$4,0))</f>
        <v>2.4372166041410286</v>
      </c>
      <c r="DK56" s="273">
        <f>INDEX($BC$43:$BP$56,MATCH($CW56,$L$43:$L$56,0),MATCH(DK$44,$BC$44:$BP$44,0))/INDEX(고양시_재차인원!$K$4:$O$20,MATCH("경기도",고양시_재차인원!$K$4:$K$20,0),MATCH('A.일산테크노밸리(859991)_수정'!DK$44,고양시_재차인원!$K$4:$O$4,0))</f>
        <v>7.382494092829271E-3</v>
      </c>
      <c r="DL56" s="273">
        <f>INDEX($BC$43:$BP$56,MATCH($CW56,$L$43:$L$56,0),MATCH(DL$44,$BC$44:$BP$44,0))/INDEX(고양시_재차인원!$K$4:$O$20,MATCH("경기도",고양시_재차인원!$K$4:$K$20,0),MATCH('A.일산테크노밸리(859991)_수정'!DL$44,고양시_재차인원!$K$4:$O$4,0))</f>
        <v>4.9216627285528468E-3</v>
      </c>
      <c r="DM56" s="273">
        <f>INDEX($BC$43:$BP$56,MATCH($CW56,$L$43:$L$56,0),MATCH(DM$44,$BC$44:$BP$44,0))/INDEX(고양시_재차인원!$K$4:$O$20,MATCH("경기도",고양시_재차인원!$K$4:$K$20,0),MATCH('A.일산테크노밸리(859991)_수정'!DM$44,고양시_재차인원!$K$4:$O$4,0))</f>
        <v>2.0280216415410116E-2</v>
      </c>
      <c r="DN56" s="272">
        <f>INDEX($BQ$43:$CD$56,MATCH($CW56,$L$43:$L$56,0),MATCH(DN$44,$BQ$44:$CD$44,0))/INDEX(고양시_재차인원!$D$4:$H$35,MATCH("고양시",고양시_재차인원!$B$4:$B$35,0),MATCH('A.일산테크노밸리(859991)_수정'!$DN$43,고양시_재차인원!$D$4:$H$4,0))</f>
        <v>5.5156428187442046</v>
      </c>
      <c r="DO56" s="273">
        <f>INDEX($BQ$43:$CD$56,MATCH($CW56,$L$43:$L$56,0),MATCH(DO$44,$BQ$44:$CD$44,0))/INDEX(고양시_재차인원!$K$4:$O$20,MATCH("경기도",고양시_재차인원!$K$4:$K$20,0),MATCH('A.일산테크노밸리(859991)_수정'!DO$44,고양시_재차인원!$K$4:$O$4,0))</f>
        <v>2.2020038092955774E-2</v>
      </c>
      <c r="DP56" s="273">
        <f>INDEX($BQ$43:$CD$56,MATCH($CW56,$L$43:$L$56,0),MATCH(DP$44,$BQ$44:$CD$44,0))/INDEX(고양시_재차인원!$K$4:$O$20,MATCH("경기도",고양시_재차인원!$K$4:$K$20,0),MATCH('A.일산테크노밸리(859991)_수정'!DP$44,고양시_재차인원!$K$4:$O$4,0))</f>
        <v>7.3544563720122413E-2</v>
      </c>
      <c r="DQ56" s="273">
        <f>INDEX($BQ$43:$CD$56,MATCH($CW56,$L$43:$L$56,0),MATCH(DQ$44,$BQ$44:$CD$44,0))/INDEX(고양시_재차인원!$K$4:$O$20,MATCH("경기도",고양시_재차인원!$K$4:$K$20,0),MATCH('A.일산테크노밸리(859991)_수정'!DQ$44,고양시_재차인원!$K$4:$O$4,0))</f>
        <v>5.2924248978811874E-3</v>
      </c>
      <c r="DR56" s="274">
        <f t="shared" si="26"/>
        <v>10211.826038576361</v>
      </c>
      <c r="DS56" s="275">
        <f t="shared" si="20"/>
        <v>8.0163551283263162E-2</v>
      </c>
      <c r="DT56" s="275">
        <f t="shared" si="21"/>
        <v>45.883677980902803</v>
      </c>
      <c r="DU56" s="275">
        <f t="shared" si="22"/>
        <v>1136.9387521713757</v>
      </c>
      <c r="EC56" s="412" t="s">
        <v>15</v>
      </c>
      <c r="ED56" s="412" t="s">
        <v>89</v>
      </c>
      <c r="EE56" s="412">
        <v>6744.6391999999996</v>
      </c>
      <c r="EF56" s="412">
        <v>3.132473616271262E-2</v>
      </c>
      <c r="EG56" s="413">
        <v>859012</v>
      </c>
      <c r="EH56" s="414">
        <f t="shared" si="29"/>
        <v>244.03230190439072</v>
      </c>
      <c r="EI56" s="415">
        <f t="shared" si="30"/>
        <v>0.98835972551061868</v>
      </c>
      <c r="EJ56" s="402">
        <v>0</v>
      </c>
      <c r="EM56" s="278" t="s">
        <v>15</v>
      </c>
      <c r="EN56" s="278" t="s">
        <v>89</v>
      </c>
      <c r="EO56" s="278">
        <v>6744.6391999999996</v>
      </c>
      <c r="EP56" s="278">
        <v>3.132473616271262E-2</v>
      </c>
      <c r="EQ56" s="289">
        <v>859012</v>
      </c>
      <c r="ER56" s="290">
        <f t="shared" si="31"/>
        <v>244.03230190439072</v>
      </c>
      <c r="ES56" s="291">
        <f t="shared" si="23"/>
        <v>0.98835972551061868</v>
      </c>
      <c r="ET56" s="402">
        <v>0</v>
      </c>
      <c r="EV56" s="34"/>
      <c r="EW56" s="34"/>
      <c r="EX56" s="34"/>
      <c r="EY56" s="34"/>
      <c r="EZ56" s="378"/>
      <c r="FA56" s="401"/>
      <c r="FB56" s="402"/>
      <c r="FC56" s="402"/>
    </row>
    <row r="57" spans="1:159" ht="17" customHeight="1">
      <c r="D57">
        <f>D56/H56</f>
        <v>0.85223537848197417</v>
      </c>
      <c r="E57">
        <f>E56/H56</f>
        <v>3.7775634075756147E-2</v>
      </c>
      <c r="R57">
        <f>R56/Z56</f>
        <v>1E-4</v>
      </c>
      <c r="S57">
        <f>S56/Z56</f>
        <v>2.7799999999999998E-2</v>
      </c>
      <c r="EC57" s="412" t="s">
        <v>15</v>
      </c>
      <c r="ED57" s="412" t="s">
        <v>90</v>
      </c>
      <c r="EE57" s="412">
        <v>9730.2787000000008</v>
      </c>
      <c r="EF57" s="412">
        <v>4.519121097940456E-2</v>
      </c>
      <c r="EG57" s="413">
        <v>859013</v>
      </c>
      <c r="EH57" s="414">
        <f t="shared" si="29"/>
        <v>352.05772153568466</v>
      </c>
      <c r="EI57" s="415">
        <f t="shared" si="30"/>
        <v>1.4258754693763043</v>
      </c>
      <c r="EJ57" s="402">
        <v>0</v>
      </c>
      <c r="EM57" s="278" t="s">
        <v>15</v>
      </c>
      <c r="EN57" s="278" t="s">
        <v>90</v>
      </c>
      <c r="EO57" s="278">
        <v>9730.2787000000008</v>
      </c>
      <c r="EP57" s="278">
        <v>4.519121097940456E-2</v>
      </c>
      <c r="EQ57" s="289">
        <v>859013</v>
      </c>
      <c r="ER57" s="290">
        <f t="shared" si="31"/>
        <v>352.05772153568466</v>
      </c>
      <c r="ES57" s="291">
        <f t="shared" si="23"/>
        <v>1.4258754693763043</v>
      </c>
      <c r="ET57" s="402">
        <v>0</v>
      </c>
      <c r="EV57" s="34"/>
      <c r="EW57" s="34"/>
      <c r="EX57" s="34"/>
      <c r="EY57" s="34"/>
      <c r="EZ57" s="378"/>
      <c r="FA57" s="401"/>
      <c r="FB57" s="402"/>
      <c r="FC57" s="402"/>
    </row>
    <row r="58" spans="1:159" ht="17" customHeight="1">
      <c r="EC58" s="412" t="s">
        <v>15</v>
      </c>
      <c r="ED58" s="412" t="s">
        <v>91</v>
      </c>
      <c r="EE58" s="412">
        <v>11598.4503</v>
      </c>
      <c r="EF58" s="412">
        <v>5.386772883919945E-2</v>
      </c>
      <c r="EG58" s="413">
        <v>859014</v>
      </c>
      <c r="EH58" s="414">
        <f t="shared" si="29"/>
        <v>419.65128768232285</v>
      </c>
      <c r="EI58" s="415">
        <f t="shared" si="30"/>
        <v>1.6996374179446923</v>
      </c>
      <c r="EJ58" s="402">
        <v>0</v>
      </c>
      <c r="EM58" s="278" t="s">
        <v>15</v>
      </c>
      <c r="EN58" s="278" t="s">
        <v>91</v>
      </c>
      <c r="EO58" s="278">
        <v>11598.4503</v>
      </c>
      <c r="EP58" s="278">
        <v>5.386772883919945E-2</v>
      </c>
      <c r="EQ58" s="289">
        <v>859014</v>
      </c>
      <c r="ER58" s="290">
        <f t="shared" si="31"/>
        <v>419.65128768232285</v>
      </c>
      <c r="ES58" s="291">
        <f t="shared" si="23"/>
        <v>1.6996374179446923</v>
      </c>
      <c r="ET58" s="402">
        <v>0</v>
      </c>
      <c r="EV58" s="34"/>
      <c r="EW58" s="34"/>
      <c r="EX58" s="34"/>
      <c r="EY58" s="34"/>
      <c r="EZ58" s="378"/>
      <c r="FA58" s="401"/>
      <c r="FB58" s="402"/>
      <c r="FC58" s="402"/>
    </row>
    <row r="59" spans="1:159" ht="17" customHeight="1">
      <c r="EC59" s="412" t="s">
        <v>15</v>
      </c>
      <c r="ED59" s="412" t="s">
        <v>92</v>
      </c>
      <c r="EE59" s="412">
        <v>20670.0766</v>
      </c>
      <c r="EF59" s="412">
        <v>9.5999901070773372E-2</v>
      </c>
      <c r="EG59" s="413">
        <v>859015</v>
      </c>
      <c r="EH59" s="414">
        <f t="shared" si="29"/>
        <v>747.87786620788904</v>
      </c>
      <c r="EI59" s="415">
        <f t="shared" si="30"/>
        <v>3.0289939356073288</v>
      </c>
      <c r="EJ59" s="402">
        <v>0</v>
      </c>
      <c r="EM59" s="278" t="s">
        <v>15</v>
      </c>
      <c r="EN59" s="278" t="s">
        <v>92</v>
      </c>
      <c r="EO59" s="278">
        <v>20670.0766</v>
      </c>
      <c r="EP59" s="278">
        <v>9.5999901070773372E-2</v>
      </c>
      <c r="EQ59" s="289">
        <v>859015</v>
      </c>
      <c r="ER59" s="290">
        <f t="shared" si="31"/>
        <v>747.87786620788904</v>
      </c>
      <c r="ES59" s="291">
        <f t="shared" si="23"/>
        <v>3.0289939356073288</v>
      </c>
      <c r="ET59" s="402">
        <v>0</v>
      </c>
      <c r="EV59" s="34"/>
      <c r="EW59" s="34"/>
      <c r="EX59" s="34"/>
      <c r="EY59" s="34"/>
      <c r="EZ59" s="378"/>
      <c r="FA59" s="401"/>
      <c r="FB59" s="402"/>
      <c r="FC59" s="402"/>
    </row>
    <row r="60" spans="1:159" ht="17" customHeight="1">
      <c r="EC60" s="412" t="s">
        <v>15</v>
      </c>
      <c r="ED60" s="412" t="s">
        <v>93</v>
      </c>
      <c r="EE60" s="412">
        <v>6590.8657999999996</v>
      </c>
      <c r="EF60" s="412">
        <v>3.061055249165083E-2</v>
      </c>
      <c r="EG60" s="413">
        <v>859016</v>
      </c>
      <c r="EH60" s="414">
        <f t="shared" si="29"/>
        <v>238.46852367090651</v>
      </c>
      <c r="EI60" s="415">
        <f t="shared" si="30"/>
        <v>0.96582576469995973</v>
      </c>
      <c r="EJ60" s="402">
        <v>0</v>
      </c>
      <c r="EM60" s="278" t="s">
        <v>15</v>
      </c>
      <c r="EN60" s="278" t="s">
        <v>93</v>
      </c>
      <c r="EO60" s="278">
        <v>6590.8657999999996</v>
      </c>
      <c r="EP60" s="278">
        <v>3.061055249165083E-2</v>
      </c>
      <c r="EQ60" s="289">
        <v>859016</v>
      </c>
      <c r="ER60" s="290">
        <f t="shared" si="31"/>
        <v>238.46852367090651</v>
      </c>
      <c r="ES60" s="291">
        <f t="shared" si="23"/>
        <v>0.96582576469995973</v>
      </c>
      <c r="ET60" s="402">
        <v>0</v>
      </c>
      <c r="EV60" s="34"/>
      <c r="EW60" s="34"/>
      <c r="EX60" s="34"/>
      <c r="EY60" s="34"/>
      <c r="EZ60" s="378"/>
      <c r="FA60" s="401"/>
      <c r="FB60" s="402"/>
      <c r="FC60" s="402"/>
    </row>
    <row r="61" spans="1:159" ht="17" customHeight="1">
      <c r="EC61" s="412" t="s">
        <v>15</v>
      </c>
      <c r="ED61" s="412" t="s">
        <v>94</v>
      </c>
      <c r="EE61" s="412">
        <v>3970.3760000000002</v>
      </c>
      <c r="EF61" s="412">
        <v>1.843997536098985E-2</v>
      </c>
      <c r="EG61" s="413">
        <v>859017</v>
      </c>
      <c r="EH61" s="414">
        <f t="shared" si="29"/>
        <v>143.65482955796173</v>
      </c>
      <c r="EI61" s="415">
        <f t="shared" si="30"/>
        <v>0.58181907395935251</v>
      </c>
      <c r="EJ61" s="402">
        <v>0</v>
      </c>
      <c r="EM61" s="278" t="s">
        <v>15</v>
      </c>
      <c r="EN61" s="278" t="s">
        <v>94</v>
      </c>
      <c r="EO61" s="278">
        <v>3970.3760000000002</v>
      </c>
      <c r="EP61" s="278">
        <v>1.843997536098985E-2</v>
      </c>
      <c r="EQ61" s="289">
        <v>859017</v>
      </c>
      <c r="ER61" s="290">
        <f t="shared" si="31"/>
        <v>143.65482955796173</v>
      </c>
      <c r="ES61" s="291">
        <f t="shared" si="23"/>
        <v>0.58181907395935251</v>
      </c>
      <c r="ET61" s="402">
        <v>0</v>
      </c>
      <c r="EV61" s="34"/>
      <c r="EW61" s="34"/>
      <c r="EX61" s="34"/>
      <c r="EY61" s="34"/>
      <c r="EZ61" s="378"/>
      <c r="FA61" s="401"/>
      <c r="FB61" s="402"/>
      <c r="FC61" s="402"/>
    </row>
    <row r="62" spans="1:159" ht="17" customHeight="1">
      <c r="EC62" s="412" t="s">
        <v>15</v>
      </c>
      <c r="ED62" s="412" t="s">
        <v>95</v>
      </c>
      <c r="EE62" s="412">
        <v>14487.1335</v>
      </c>
      <c r="EF62" s="412">
        <v>6.7283900766922491E-2</v>
      </c>
      <c r="EG62" s="413">
        <v>859018</v>
      </c>
      <c r="EH62" s="414">
        <f t="shared" si="29"/>
        <v>524.1686665761473</v>
      </c>
      <c r="EI62" s="415">
        <f t="shared" si="30"/>
        <v>2.1229451813368594</v>
      </c>
      <c r="EJ62" s="402">
        <v>0</v>
      </c>
      <c r="EM62" s="278" t="s">
        <v>15</v>
      </c>
      <c r="EN62" s="278" t="s">
        <v>95</v>
      </c>
      <c r="EO62" s="278">
        <v>14487.1335</v>
      </c>
      <c r="EP62" s="278">
        <v>6.7283900766922491E-2</v>
      </c>
      <c r="EQ62" s="289">
        <v>859018</v>
      </c>
      <c r="ER62" s="290">
        <f t="shared" si="31"/>
        <v>524.1686665761473</v>
      </c>
      <c r="ES62" s="291">
        <f t="shared" si="23"/>
        <v>2.1229451813368594</v>
      </c>
      <c r="ET62" s="402">
        <v>0</v>
      </c>
      <c r="EV62" s="34"/>
      <c r="EW62" s="34"/>
      <c r="EX62" s="34"/>
      <c r="EY62" s="34"/>
      <c r="EZ62" s="378"/>
      <c r="FA62" s="401"/>
      <c r="FB62" s="402"/>
      <c r="FC62" s="402"/>
    </row>
    <row r="63" spans="1:159" ht="17" customHeight="1">
      <c r="EC63" s="412" t="s">
        <v>15</v>
      </c>
      <c r="ED63" s="412" t="s">
        <v>96</v>
      </c>
      <c r="EE63" s="412">
        <v>7440.5132000000003</v>
      </c>
      <c r="EF63" s="412">
        <v>3.4556646544589169E-2</v>
      </c>
      <c r="EG63" s="413">
        <v>859019</v>
      </c>
      <c r="EH63" s="414">
        <f t="shared" si="29"/>
        <v>269.21018451898874</v>
      </c>
      <c r="EI63" s="415">
        <f t="shared" si="30"/>
        <v>1.0903331321281258</v>
      </c>
      <c r="EJ63" s="402">
        <v>0</v>
      </c>
      <c r="EM63" s="278" t="s">
        <v>15</v>
      </c>
      <c r="EN63" s="278" t="s">
        <v>96</v>
      </c>
      <c r="EO63" s="278">
        <v>7440.5132000000003</v>
      </c>
      <c r="EP63" s="278">
        <v>3.4556646544589169E-2</v>
      </c>
      <c r="EQ63" s="289">
        <v>859019</v>
      </c>
      <c r="ER63" s="290">
        <f t="shared" si="31"/>
        <v>269.21018451898874</v>
      </c>
      <c r="ES63" s="291">
        <f t="shared" si="23"/>
        <v>1.0903331321281258</v>
      </c>
      <c r="ET63" s="402">
        <v>0</v>
      </c>
      <c r="EV63" s="34"/>
      <c r="EW63" s="34"/>
      <c r="EX63" s="34"/>
      <c r="EY63" s="34"/>
      <c r="EZ63" s="378"/>
      <c r="FA63" s="401"/>
      <c r="FB63" s="402"/>
      <c r="FC63" s="402"/>
    </row>
    <row r="64" spans="1:159" ht="17" customHeight="1">
      <c r="EC64" s="412" t="s">
        <v>15</v>
      </c>
      <c r="ED64" s="412" t="s">
        <v>97</v>
      </c>
      <c r="EE64" s="412">
        <v>20150.029900000001</v>
      </c>
      <c r="EF64" s="412">
        <v>9.3584601276858623E-2</v>
      </c>
      <c r="EG64" s="413">
        <v>859020</v>
      </c>
      <c r="EH64" s="414">
        <f t="shared" si="29"/>
        <v>729.06170873295957</v>
      </c>
      <c r="EI64" s="415">
        <f t="shared" si="30"/>
        <v>2.9527862692780906</v>
      </c>
      <c r="EJ64" s="402">
        <v>0</v>
      </c>
      <c r="EM64" s="278" t="s">
        <v>15</v>
      </c>
      <c r="EN64" s="278" t="s">
        <v>97</v>
      </c>
      <c r="EO64" s="278">
        <v>20150.029900000001</v>
      </c>
      <c r="EP64" s="278">
        <v>9.3584601276858623E-2</v>
      </c>
      <c r="EQ64" s="289">
        <v>859020</v>
      </c>
      <c r="ER64" s="290">
        <f t="shared" si="31"/>
        <v>729.06170873295957</v>
      </c>
      <c r="ES64" s="291">
        <f t="shared" si="23"/>
        <v>2.9527862692780906</v>
      </c>
      <c r="ET64" s="402">
        <v>0</v>
      </c>
      <c r="EV64" s="34"/>
      <c r="EW64" s="34"/>
      <c r="EX64" s="34"/>
      <c r="EY64" s="34"/>
      <c r="EZ64" s="378"/>
      <c r="FA64" s="401"/>
      <c r="FB64" s="402"/>
      <c r="FC64" s="402"/>
    </row>
    <row r="65" spans="133:159" ht="17" customHeight="1">
      <c r="EC65" s="412" t="s">
        <v>15</v>
      </c>
      <c r="ED65" s="412" t="s">
        <v>98</v>
      </c>
      <c r="EE65" s="412">
        <v>8631.4781000000003</v>
      </c>
      <c r="EF65" s="412">
        <v>4.0087952247576428E-2</v>
      </c>
      <c r="EG65" s="413">
        <v>859021</v>
      </c>
      <c r="EH65" s="414">
        <f t="shared" si="29"/>
        <v>312.30128211755749</v>
      </c>
      <c r="EI65" s="415">
        <f t="shared" si="30"/>
        <v>1.2648571810434155</v>
      </c>
      <c r="EJ65" s="402">
        <v>0</v>
      </c>
      <c r="EM65" s="278" t="s">
        <v>15</v>
      </c>
      <c r="EN65" s="278" t="s">
        <v>98</v>
      </c>
      <c r="EO65" s="278">
        <v>8631.4781000000003</v>
      </c>
      <c r="EP65" s="278">
        <v>4.0087952247576428E-2</v>
      </c>
      <c r="EQ65" s="289">
        <v>859021</v>
      </c>
      <c r="ER65" s="290">
        <f t="shared" si="31"/>
        <v>312.30128211755749</v>
      </c>
      <c r="ES65" s="291">
        <f t="shared" si="23"/>
        <v>1.2648571810434155</v>
      </c>
      <c r="ET65" s="402">
        <v>0</v>
      </c>
      <c r="EV65" s="34"/>
      <c r="EW65" s="34"/>
      <c r="EX65" s="34"/>
      <c r="EY65" s="34"/>
      <c r="EZ65" s="378"/>
      <c r="FA65" s="401"/>
      <c r="FB65" s="402"/>
      <c r="FC65" s="402"/>
    </row>
    <row r="66" spans="133:159" ht="17" customHeight="1">
      <c r="EC66" s="412" t="s">
        <v>15</v>
      </c>
      <c r="ED66" s="412" t="s">
        <v>99</v>
      </c>
      <c r="EE66" s="412">
        <v>11977.777099999999</v>
      </c>
      <c r="EF66" s="412">
        <v>5.56294705094501E-2</v>
      </c>
      <c r="EG66" s="413">
        <v>859022</v>
      </c>
      <c r="EH66" s="414">
        <f t="shared" si="29"/>
        <v>433.37596433782517</v>
      </c>
      <c r="EI66" s="415">
        <f t="shared" si="30"/>
        <v>1.7552239839283583</v>
      </c>
      <c r="EJ66" s="402">
        <v>0</v>
      </c>
      <c r="EM66" s="278" t="s">
        <v>15</v>
      </c>
      <c r="EN66" s="278" t="s">
        <v>99</v>
      </c>
      <c r="EO66" s="278">
        <v>11977.777099999999</v>
      </c>
      <c r="EP66" s="278">
        <v>5.56294705094501E-2</v>
      </c>
      <c r="EQ66" s="289">
        <v>859022</v>
      </c>
      <c r="ER66" s="290">
        <f t="shared" si="31"/>
        <v>433.37596433782517</v>
      </c>
      <c r="ES66" s="291">
        <f t="shared" si="23"/>
        <v>1.7552239839283583</v>
      </c>
      <c r="ET66" s="402">
        <v>0</v>
      </c>
      <c r="EV66" s="34"/>
      <c r="EW66" s="34"/>
      <c r="EX66" s="34"/>
      <c r="EY66" s="34"/>
      <c r="EZ66" s="378"/>
      <c r="FA66" s="401"/>
      <c r="FB66" s="402"/>
      <c r="FC66" s="402"/>
    </row>
    <row r="67" spans="133:159" ht="17" customHeight="1">
      <c r="EC67" s="412" t="s">
        <v>15</v>
      </c>
      <c r="ED67" s="412" t="s">
        <v>100</v>
      </c>
      <c r="EE67" s="412">
        <v>5754.1068999999998</v>
      </c>
      <c r="EF67" s="412">
        <v>2.672431766172818E-2</v>
      </c>
      <c r="EG67" s="413">
        <v>859023</v>
      </c>
      <c r="EH67" s="414">
        <f t="shared" si="29"/>
        <v>208.19319026152473</v>
      </c>
      <c r="EI67" s="415">
        <f t="shared" si="30"/>
        <v>0.8432070786296112</v>
      </c>
      <c r="EJ67" s="402">
        <v>0</v>
      </c>
      <c r="EM67" s="278" t="s">
        <v>15</v>
      </c>
      <c r="EN67" s="278" t="s">
        <v>100</v>
      </c>
      <c r="EO67" s="278">
        <v>5754.1068999999998</v>
      </c>
      <c r="EP67" s="278">
        <v>2.672431766172818E-2</v>
      </c>
      <c r="EQ67" s="289">
        <v>859023</v>
      </c>
      <c r="ER67" s="290">
        <f t="shared" si="31"/>
        <v>208.19319026152473</v>
      </c>
      <c r="ES67" s="291">
        <f t="shared" si="23"/>
        <v>0.8432070786296112</v>
      </c>
      <c r="ET67" s="402">
        <v>0</v>
      </c>
      <c r="EV67" s="34"/>
      <c r="EW67" s="34"/>
      <c r="EX67" s="34"/>
      <c r="EY67" s="34"/>
      <c r="EZ67" s="378"/>
      <c r="FA67" s="401"/>
      <c r="FB67" s="402"/>
      <c r="FC67" s="402"/>
    </row>
    <row r="68" spans="133:159" ht="17" customHeight="1">
      <c r="EC68" s="412" t="s">
        <v>15</v>
      </c>
      <c r="ED68" s="412" t="s">
        <v>101</v>
      </c>
      <c r="EE68" s="412">
        <v>6005.2467999999999</v>
      </c>
      <c r="EF68" s="412">
        <v>2.7890709350616452E-2</v>
      </c>
      <c r="EG68" s="413">
        <v>859024</v>
      </c>
      <c r="EH68" s="414">
        <f t="shared" si="29"/>
        <v>217.27985095303194</v>
      </c>
      <c r="EI68" s="415">
        <f t="shared" si="30"/>
        <v>0.88000913063986019</v>
      </c>
      <c r="EJ68" s="402">
        <v>0</v>
      </c>
      <c r="EM68" s="278" t="s">
        <v>15</v>
      </c>
      <c r="EN68" s="278" t="s">
        <v>101</v>
      </c>
      <c r="EO68" s="278">
        <v>6005.2467999999999</v>
      </c>
      <c r="EP68" s="278">
        <v>2.7890709350616452E-2</v>
      </c>
      <c r="EQ68" s="289">
        <v>859024</v>
      </c>
      <c r="ER68" s="290">
        <f t="shared" si="31"/>
        <v>217.27985095303194</v>
      </c>
      <c r="ES68" s="291">
        <f t="shared" si="23"/>
        <v>0.88000913063986019</v>
      </c>
      <c r="ET68" s="402">
        <v>0</v>
      </c>
      <c r="EV68" s="34"/>
      <c r="EW68" s="34"/>
      <c r="EX68" s="34"/>
      <c r="EY68" s="34"/>
      <c r="EZ68" s="378"/>
      <c r="FA68" s="401"/>
      <c r="FB68" s="402"/>
      <c r="FC68" s="402"/>
    </row>
    <row r="69" spans="133:159" ht="17" customHeight="1">
      <c r="EC69" s="412" t="s">
        <v>16</v>
      </c>
      <c r="ED69" s="412" t="s">
        <v>575</v>
      </c>
      <c r="EE69" s="412">
        <v>10596.0813</v>
      </c>
      <c r="EF69" s="412">
        <v>0.3566329663552395</v>
      </c>
      <c r="EG69" s="413">
        <v>859025</v>
      </c>
      <c r="EH69" s="414">
        <f t="shared" si="29"/>
        <v>301.13490842491677</v>
      </c>
      <c r="EI69" s="415">
        <f t="shared" si="30"/>
        <v>1.2196320450606744</v>
      </c>
      <c r="EJ69" s="402">
        <v>0</v>
      </c>
      <c r="EM69" s="278" t="s">
        <v>16</v>
      </c>
      <c r="EN69" s="278" t="s">
        <v>575</v>
      </c>
      <c r="EO69" s="278">
        <v>10596.0813</v>
      </c>
      <c r="EP69" s="278">
        <v>0.3566329663552395</v>
      </c>
      <c r="EQ69" s="289">
        <v>859025</v>
      </c>
      <c r="ER69" s="290">
        <f t="shared" si="31"/>
        <v>301.13490842491677</v>
      </c>
      <c r="ES69" s="291">
        <f t="shared" si="23"/>
        <v>1.2196320450606744</v>
      </c>
      <c r="ET69" s="402">
        <v>0</v>
      </c>
      <c r="EV69" s="34"/>
      <c r="EW69" s="34"/>
      <c r="EX69" s="34"/>
      <c r="EY69" s="34"/>
      <c r="EZ69" s="378"/>
      <c r="FA69" s="401"/>
      <c r="FB69" s="402"/>
      <c r="FC69" s="402"/>
    </row>
    <row r="70" spans="133:159" ht="17" customHeight="1">
      <c r="EC70" s="412" t="s">
        <v>16</v>
      </c>
      <c r="ED70" s="412" t="s">
        <v>576</v>
      </c>
      <c r="EE70" s="412">
        <v>10127.7948</v>
      </c>
      <c r="EF70" s="412">
        <v>0.34087181854306553</v>
      </c>
      <c r="EG70" s="413">
        <v>859026</v>
      </c>
      <c r="EH70" s="414">
        <f t="shared" si="29"/>
        <v>287.82645898010884</v>
      </c>
      <c r="EI70" s="415">
        <f t="shared" si="30"/>
        <v>1.1657312485776101</v>
      </c>
      <c r="EJ70" s="402">
        <v>0</v>
      </c>
      <c r="EM70" s="278" t="s">
        <v>16</v>
      </c>
      <c r="EN70" s="278" t="s">
        <v>576</v>
      </c>
      <c r="EO70" s="278">
        <v>10127.7948</v>
      </c>
      <c r="EP70" s="278">
        <v>0.34087181854306553</v>
      </c>
      <c r="EQ70" s="289">
        <v>859026</v>
      </c>
      <c r="ER70" s="290">
        <f t="shared" si="31"/>
        <v>287.82645898010884</v>
      </c>
      <c r="ES70" s="291">
        <f t="shared" si="23"/>
        <v>1.1657312485776101</v>
      </c>
      <c r="ET70" s="402">
        <v>0</v>
      </c>
      <c r="EV70" s="34"/>
      <c r="EW70" s="34"/>
      <c r="EX70" s="34"/>
      <c r="EY70" s="34"/>
      <c r="EZ70" s="378"/>
      <c r="FA70" s="401"/>
      <c r="FB70" s="402"/>
      <c r="FC70" s="402"/>
    </row>
    <row r="71" spans="133:159" ht="17" customHeight="1">
      <c r="EC71" s="412" t="s">
        <v>16</v>
      </c>
      <c r="ED71" s="412" t="s">
        <v>382</v>
      </c>
      <c r="EE71" s="412">
        <v>8987.5704000000005</v>
      </c>
      <c r="EF71" s="412">
        <v>0.30249521510169491</v>
      </c>
      <c r="EG71" s="413">
        <v>859027</v>
      </c>
      <c r="EH71" s="414">
        <f t="shared" si="29"/>
        <v>255.42189727880751</v>
      </c>
      <c r="EI71" s="415">
        <f t="shared" si="30"/>
        <v>1.0344889357425735</v>
      </c>
      <c r="EJ71" s="402">
        <v>0</v>
      </c>
      <c r="EM71" s="278" t="s">
        <v>16</v>
      </c>
      <c r="EN71" s="278" t="s">
        <v>382</v>
      </c>
      <c r="EO71" s="278">
        <v>8987.5704000000005</v>
      </c>
      <c r="EP71" s="278">
        <v>0.30249521510169491</v>
      </c>
      <c r="EQ71" s="289">
        <v>859027</v>
      </c>
      <c r="ER71" s="290">
        <f t="shared" si="31"/>
        <v>255.42189727880751</v>
      </c>
      <c r="ES71" s="291">
        <f t="shared" si="23"/>
        <v>1.0344889357425735</v>
      </c>
      <c r="ET71" s="402">
        <v>0</v>
      </c>
      <c r="EV71" s="34"/>
      <c r="EW71" s="34"/>
      <c r="EX71" s="34"/>
      <c r="EY71" s="34"/>
      <c r="EZ71" s="378"/>
      <c r="FA71" s="401"/>
      <c r="FB71" s="402"/>
      <c r="FC71" s="402"/>
    </row>
    <row r="72" spans="133:159" ht="17" customHeight="1">
      <c r="EC72" s="412" t="s">
        <v>17</v>
      </c>
      <c r="ED72" s="412" t="s">
        <v>577</v>
      </c>
      <c r="EE72" s="412">
        <v>2607.4872</v>
      </c>
      <c r="EF72" s="412">
        <v>3.7361234000204045E-2</v>
      </c>
      <c r="EG72" s="413">
        <v>859028</v>
      </c>
      <c r="EH72" s="414">
        <f t="shared" si="29"/>
        <v>26.931516151402917</v>
      </c>
      <c r="EI72" s="415">
        <f t="shared" si="30"/>
        <v>0.10907583013913473</v>
      </c>
      <c r="EJ72" s="402">
        <f t="shared" ref="EJ72" si="32">VLOOKUP($ED72,$AC$180:$AG$186,5,FALSE)</f>
        <v>62.917589156216088</v>
      </c>
      <c r="EM72" s="278" t="s">
        <v>17</v>
      </c>
      <c r="EN72" s="278" t="s">
        <v>577</v>
      </c>
      <c r="EO72" s="278">
        <v>2607.4872</v>
      </c>
      <c r="EP72" s="278">
        <v>3.7361234000204045E-2</v>
      </c>
      <c r="EQ72" s="289">
        <v>859028</v>
      </c>
      <c r="ER72" s="290">
        <f t="shared" si="31"/>
        <v>26.931516151402917</v>
      </c>
      <c r="ES72" s="291">
        <f t="shared" si="23"/>
        <v>0.10907583013913473</v>
      </c>
      <c r="ET72" s="402">
        <f t="shared" ref="ET72" si="33">VLOOKUP($ED72,$AC$180:$AG$186,5,FALSE)</f>
        <v>62.917589156216088</v>
      </c>
      <c r="EV72" s="34"/>
      <c r="EW72" s="34"/>
      <c r="EX72" s="34"/>
      <c r="EY72" s="34"/>
      <c r="EZ72" s="378"/>
      <c r="FA72" s="401"/>
      <c r="FB72" s="402"/>
      <c r="FC72" s="402"/>
    </row>
    <row r="73" spans="133:159" ht="17" customHeight="1">
      <c r="EC73" s="412" t="s">
        <v>17</v>
      </c>
      <c r="ED73" s="412" t="s">
        <v>103</v>
      </c>
      <c r="EE73" s="412">
        <v>15824.4439</v>
      </c>
      <c r="EF73" s="412">
        <v>0.22673965627559034</v>
      </c>
      <c r="EG73" s="413">
        <v>859029</v>
      </c>
      <c r="EH73" s="414">
        <f t="shared" si="29"/>
        <v>163.44328228334902</v>
      </c>
      <c r="EI73" s="415">
        <f t="shared" si="30"/>
        <v>0.66196465121004888</v>
      </c>
      <c r="EJ73" s="402">
        <f>VLOOKUP($ED73,$AC$180:$AG$186,5,FALSE)</f>
        <v>381.83729528021843</v>
      </c>
      <c r="EM73" s="278" t="s">
        <v>17</v>
      </c>
      <c r="EN73" s="278" t="s">
        <v>103</v>
      </c>
      <c r="EO73" s="278">
        <v>15824.4439</v>
      </c>
      <c r="EP73" s="278">
        <v>0.22673965627559034</v>
      </c>
      <c r="EQ73" s="289">
        <v>859029</v>
      </c>
      <c r="ER73" s="290">
        <f t="shared" si="31"/>
        <v>163.44328228334902</v>
      </c>
      <c r="ES73" s="291">
        <f t="shared" si="23"/>
        <v>0.66196465121004888</v>
      </c>
      <c r="ET73" s="402">
        <f>VLOOKUP($ED73,$AC$180:$AG$186,5,FALSE)</f>
        <v>381.83729528021843</v>
      </c>
      <c r="EV73" s="34"/>
      <c r="EW73" s="34"/>
      <c r="EX73" s="34"/>
      <c r="EY73" s="34"/>
      <c r="EZ73" s="378"/>
      <c r="FA73" s="401"/>
      <c r="FB73" s="402"/>
      <c r="FC73" s="402"/>
    </row>
    <row r="74" spans="133:159" ht="17" customHeight="1">
      <c r="EC74" s="412" t="s">
        <v>17</v>
      </c>
      <c r="ED74" s="412" t="s">
        <v>104</v>
      </c>
      <c r="EE74" s="412">
        <v>11511.7454</v>
      </c>
      <c r="EF74" s="412">
        <v>0.16494539786817458</v>
      </c>
      <c r="EG74" s="413">
        <v>859030</v>
      </c>
      <c r="EH74" s="414">
        <f t="shared" si="29"/>
        <v>118.89943589020811</v>
      </c>
      <c r="EI74" s="415">
        <f t="shared" si="30"/>
        <v>0.4815567976154842</v>
      </c>
      <c r="EJ74" s="402">
        <f t="shared" ref="EJ74:EJ77" si="34">VLOOKUP($ED74,$AC$180:$AG$186,5,FALSE)</f>
        <v>277.77366176453734</v>
      </c>
      <c r="EM74" s="278" t="s">
        <v>17</v>
      </c>
      <c r="EN74" s="278" t="s">
        <v>104</v>
      </c>
      <c r="EO74" s="278">
        <v>11511.7454</v>
      </c>
      <c r="EP74" s="278">
        <v>0.16494539786817458</v>
      </c>
      <c r="EQ74" s="289">
        <v>859030</v>
      </c>
      <c r="ER74" s="290">
        <f t="shared" si="31"/>
        <v>118.89943589020811</v>
      </c>
      <c r="ES74" s="291">
        <f t="shared" si="23"/>
        <v>0.4815567976154842</v>
      </c>
      <c r="ET74" s="402">
        <f t="shared" ref="ET74:ET77" si="35">VLOOKUP($ED74,$AC$180:$AG$186,5,FALSE)</f>
        <v>277.77366176453734</v>
      </c>
      <c r="EV74" s="34"/>
      <c r="EW74" s="34"/>
      <c r="EX74" s="34"/>
      <c r="EY74" s="34"/>
      <c r="EZ74" s="378"/>
      <c r="FA74" s="401"/>
      <c r="FB74" s="402"/>
      <c r="FC74" s="402"/>
    </row>
    <row r="75" spans="133:159" ht="17" customHeight="1">
      <c r="EC75" s="412" t="s">
        <v>17</v>
      </c>
      <c r="ED75" s="412" t="s">
        <v>117</v>
      </c>
      <c r="EE75" s="412">
        <v>4659.9287999999997</v>
      </c>
      <c r="EF75" s="412">
        <v>6.6769528272694875E-2</v>
      </c>
      <c r="EG75" s="413">
        <v>859031</v>
      </c>
      <c r="EH75" s="414">
        <f t="shared" si="29"/>
        <v>48.130225813414384</v>
      </c>
      <c r="EI75" s="415">
        <f t="shared" si="30"/>
        <v>0.19493311501174843</v>
      </c>
      <c r="EJ75" s="402">
        <f t="shared" si="34"/>
        <v>112.44215723690573</v>
      </c>
      <c r="EM75" s="278" t="s">
        <v>17</v>
      </c>
      <c r="EN75" s="278" t="s">
        <v>117</v>
      </c>
      <c r="EO75" s="278">
        <v>4659.9287999999997</v>
      </c>
      <c r="EP75" s="278">
        <v>6.6769528272694875E-2</v>
      </c>
      <c r="EQ75" s="289">
        <v>859031</v>
      </c>
      <c r="ER75" s="290">
        <f t="shared" si="31"/>
        <v>48.130225813414384</v>
      </c>
      <c r="ES75" s="291">
        <f t="shared" si="23"/>
        <v>0.19493311501174843</v>
      </c>
      <c r="ET75" s="402">
        <f t="shared" si="35"/>
        <v>112.44215723690573</v>
      </c>
      <c r="EV75" s="34"/>
      <c r="EW75" s="34"/>
      <c r="EX75" s="34"/>
      <c r="EY75" s="34"/>
      <c r="EZ75" s="378"/>
      <c r="FA75" s="401"/>
      <c r="FB75" s="402"/>
      <c r="FC75" s="402"/>
    </row>
    <row r="76" spans="133:159" ht="17" customHeight="1">
      <c r="EC76" s="412" t="s">
        <v>17</v>
      </c>
      <c r="ED76" s="412" t="s">
        <v>118</v>
      </c>
      <c r="EE76" s="412">
        <v>23055.857</v>
      </c>
      <c r="EF76" s="412">
        <v>0.33035455301649896</v>
      </c>
      <c r="EG76" s="413">
        <v>859032</v>
      </c>
      <c r="EH76" s="414">
        <f t="shared" si="29"/>
        <v>238.13316712731555</v>
      </c>
      <c r="EI76" s="415">
        <f t="shared" si="30"/>
        <v>0.96446753097932003</v>
      </c>
      <c r="EJ76" s="402">
        <f t="shared" si="34"/>
        <v>556.32830656674707</v>
      </c>
      <c r="EM76" s="278" t="s">
        <v>17</v>
      </c>
      <c r="EN76" s="278" t="s">
        <v>118</v>
      </c>
      <c r="EO76" s="278">
        <v>23055.857</v>
      </c>
      <c r="EP76" s="278">
        <v>0.33035455301649896</v>
      </c>
      <c r="EQ76" s="289">
        <v>859032</v>
      </c>
      <c r="ER76" s="290">
        <f t="shared" si="31"/>
        <v>238.13316712731555</v>
      </c>
      <c r="ES76" s="291">
        <f t="shared" si="23"/>
        <v>0.96446753097932003</v>
      </c>
      <c r="ET76" s="402">
        <f t="shared" si="35"/>
        <v>556.32830656674707</v>
      </c>
      <c r="EV76" s="34"/>
      <c r="EW76" s="34"/>
      <c r="EX76" s="34"/>
      <c r="EY76" s="34"/>
      <c r="EZ76" s="378"/>
      <c r="FA76" s="401"/>
      <c r="FB76" s="402"/>
      <c r="FC76" s="402"/>
    </row>
    <row r="77" spans="133:159" ht="17" customHeight="1">
      <c r="EC77" s="412" t="s">
        <v>17</v>
      </c>
      <c r="ED77" s="412" t="s">
        <v>119</v>
      </c>
      <c r="EE77" s="412">
        <v>12131.7871</v>
      </c>
      <c r="EF77" s="412">
        <v>0.17382963056683723</v>
      </c>
      <c r="EG77" s="413">
        <v>859033</v>
      </c>
      <c r="EH77" s="414">
        <f t="shared" si="29"/>
        <v>125.30355670740457</v>
      </c>
      <c r="EI77" s="415">
        <f t="shared" si="30"/>
        <v>0.50749424541901722</v>
      </c>
      <c r="EJ77" s="402">
        <f t="shared" si="34"/>
        <v>292.73501188749168</v>
      </c>
      <c r="EM77" s="278" t="s">
        <v>17</v>
      </c>
      <c r="EN77" s="278" t="s">
        <v>119</v>
      </c>
      <c r="EO77" s="278">
        <v>12131.7871</v>
      </c>
      <c r="EP77" s="278">
        <v>0.17382963056683723</v>
      </c>
      <c r="EQ77" s="289">
        <v>859033</v>
      </c>
      <c r="ER77" s="290">
        <f t="shared" si="31"/>
        <v>125.30355670740457</v>
      </c>
      <c r="ES77" s="291">
        <f t="shared" si="23"/>
        <v>0.50749424541901722</v>
      </c>
      <c r="ET77" s="402">
        <f t="shared" si="35"/>
        <v>292.73501188749168</v>
      </c>
      <c r="EV77" s="34"/>
      <c r="EW77" s="34"/>
      <c r="EX77" s="34"/>
      <c r="EY77" s="34"/>
      <c r="EZ77" s="378"/>
      <c r="FA77" s="401"/>
      <c r="FB77" s="402"/>
      <c r="FC77" s="402"/>
    </row>
    <row r="78" spans="133:159" ht="17" customHeight="1">
      <c r="EC78" s="412" t="s">
        <v>852</v>
      </c>
      <c r="ED78" s="412" t="s">
        <v>579</v>
      </c>
      <c r="EE78" s="412">
        <v>17191.4817</v>
      </c>
      <c r="EF78" s="412">
        <v>0.33368246308233862</v>
      </c>
      <c r="EG78" s="413">
        <v>859034</v>
      </c>
      <c r="EH78" s="414">
        <f t="shared" si="29"/>
        <v>308.82022534376142</v>
      </c>
      <c r="EI78" s="415">
        <f t="shared" si="30"/>
        <v>1.2507584888187118</v>
      </c>
      <c r="EJ78" s="402">
        <v>0</v>
      </c>
      <c r="EM78" s="278" t="s">
        <v>852</v>
      </c>
      <c r="EN78" s="278" t="s">
        <v>579</v>
      </c>
      <c r="EO78" s="278">
        <v>17191.4817</v>
      </c>
      <c r="EP78" s="278">
        <v>0.33368246308233862</v>
      </c>
      <c r="EQ78" s="289">
        <v>859034</v>
      </c>
      <c r="ER78" s="290">
        <f t="shared" si="31"/>
        <v>308.82022534376142</v>
      </c>
      <c r="ES78" s="291">
        <f t="shared" si="23"/>
        <v>1.2507584888187118</v>
      </c>
      <c r="ET78" s="402">
        <v>0</v>
      </c>
      <c r="EV78" s="34"/>
      <c r="EW78" s="34"/>
      <c r="EX78" s="34"/>
      <c r="EY78" s="34"/>
      <c r="EZ78" s="378"/>
      <c r="FA78" s="401"/>
      <c r="FB78" s="402"/>
      <c r="FC78" s="402"/>
    </row>
    <row r="79" spans="133:159" ht="17" customHeight="1">
      <c r="EC79" s="412" t="s">
        <v>578</v>
      </c>
      <c r="ED79" s="412" t="s">
        <v>580</v>
      </c>
      <c r="EE79" s="412">
        <v>22736.497299999999</v>
      </c>
      <c r="EF79" s="412">
        <v>0.44130986225166047</v>
      </c>
      <c r="EG79" s="413">
        <v>859035</v>
      </c>
      <c r="EH79" s="414">
        <f t="shared" si="29"/>
        <v>408.4284497544981</v>
      </c>
      <c r="EI79" s="415">
        <f t="shared" si="30"/>
        <v>1.6541835951219213</v>
      </c>
      <c r="EJ79" s="402">
        <v>0</v>
      </c>
      <c r="EM79" s="278" t="s">
        <v>578</v>
      </c>
      <c r="EN79" s="278" t="s">
        <v>580</v>
      </c>
      <c r="EO79" s="278">
        <v>22736.497299999999</v>
      </c>
      <c r="EP79" s="278">
        <v>0.44130986225166047</v>
      </c>
      <c r="EQ79" s="289">
        <v>859035</v>
      </c>
      <c r="ER79" s="290">
        <f t="shared" si="31"/>
        <v>408.4284497544981</v>
      </c>
      <c r="ES79" s="291">
        <f t="shared" si="23"/>
        <v>1.6541835951219213</v>
      </c>
      <c r="ET79" s="402">
        <v>0</v>
      </c>
      <c r="EV79" s="34"/>
      <c r="EW79" s="34"/>
      <c r="EX79" s="34"/>
      <c r="EY79" s="34"/>
      <c r="EZ79" s="378"/>
      <c r="FA79" s="401"/>
      <c r="FB79" s="402"/>
      <c r="FC79" s="402"/>
    </row>
    <row r="80" spans="133:159" ht="17" customHeight="1">
      <c r="EC80" s="412" t="s">
        <v>578</v>
      </c>
      <c r="ED80" s="412" t="s">
        <v>581</v>
      </c>
      <c r="EE80" s="412">
        <v>11592.5041</v>
      </c>
      <c r="EF80" s="412">
        <v>0.22500767466600097</v>
      </c>
      <c r="EG80" s="413">
        <v>859036</v>
      </c>
      <c r="EH80" s="414">
        <f t="shared" si="29"/>
        <v>208.2426512695807</v>
      </c>
      <c r="EI80" s="415">
        <f t="shared" si="30"/>
        <v>0.84340740157032079</v>
      </c>
      <c r="EJ80" s="402">
        <v>0</v>
      </c>
      <c r="EM80" s="278" t="s">
        <v>578</v>
      </c>
      <c r="EN80" s="278" t="s">
        <v>581</v>
      </c>
      <c r="EO80" s="278">
        <v>11592.5041</v>
      </c>
      <c r="EP80" s="278">
        <v>0.22500767466600097</v>
      </c>
      <c r="EQ80" s="289">
        <v>859036</v>
      </c>
      <c r="ER80" s="290">
        <f t="shared" si="31"/>
        <v>208.2426512695807</v>
      </c>
      <c r="ES80" s="291">
        <f t="shared" si="23"/>
        <v>0.84340740157032079</v>
      </c>
      <c r="ET80" s="402">
        <v>0</v>
      </c>
      <c r="EV80" s="34"/>
      <c r="EW80" s="34"/>
      <c r="EX80" s="34"/>
      <c r="EY80" s="34"/>
      <c r="EZ80" s="378"/>
      <c r="FA80" s="401"/>
      <c r="FB80" s="402"/>
      <c r="FC80" s="402"/>
    </row>
    <row r="81" spans="1:159" ht="17" customHeight="1">
      <c r="EC81" s="412" t="s">
        <v>24</v>
      </c>
      <c r="ED81" s="412" t="s">
        <v>582</v>
      </c>
      <c r="EE81" s="412">
        <v>11518.725399999999</v>
      </c>
      <c r="EF81" s="412">
        <v>0.5685947059337656</v>
      </c>
      <c r="EG81" s="413">
        <v>859037</v>
      </c>
      <c r="EH81" s="414">
        <f t="shared" si="29"/>
        <v>166.6036999998162</v>
      </c>
      <c r="EI81" s="415">
        <f t="shared" si="30"/>
        <v>0.67476471727659038</v>
      </c>
      <c r="EJ81" s="402">
        <v>0</v>
      </c>
      <c r="EM81" s="278" t="s">
        <v>24</v>
      </c>
      <c r="EN81" s="278" t="s">
        <v>582</v>
      </c>
      <c r="EO81" s="278">
        <v>11518.725399999999</v>
      </c>
      <c r="EP81" s="278">
        <v>0.5685947059337656</v>
      </c>
      <c r="EQ81" s="289">
        <v>859037</v>
      </c>
      <c r="ER81" s="290">
        <f t="shared" si="31"/>
        <v>166.6036999998162</v>
      </c>
      <c r="ES81" s="291">
        <f t="shared" si="23"/>
        <v>0.67476471727659038</v>
      </c>
      <c r="ET81" s="402">
        <v>0</v>
      </c>
      <c r="EV81" s="34"/>
      <c r="EW81" s="34"/>
      <c r="EX81" s="34"/>
      <c r="EY81" s="34"/>
      <c r="EZ81" s="378"/>
      <c r="FA81" s="401"/>
      <c r="FB81" s="402"/>
      <c r="FC81" s="402"/>
    </row>
    <row r="82" spans="1:159" ht="17" customHeight="1">
      <c r="EC82" s="412" t="s">
        <v>24</v>
      </c>
      <c r="ED82" s="412" t="s">
        <v>583</v>
      </c>
      <c r="EE82" s="412">
        <v>8739.51</v>
      </c>
      <c r="EF82" s="412">
        <v>0.43140529406623446</v>
      </c>
      <c r="EG82" s="413">
        <v>859038</v>
      </c>
      <c r="EH82" s="414">
        <f t="shared" si="29"/>
        <v>126.40588707717556</v>
      </c>
      <c r="EI82" s="415">
        <f t="shared" si="30"/>
        <v>0.51195881397484599</v>
      </c>
      <c r="EJ82" s="402">
        <v>0</v>
      </c>
      <c r="EM82" s="278" t="s">
        <v>24</v>
      </c>
      <c r="EN82" s="278" t="s">
        <v>583</v>
      </c>
      <c r="EO82" s="278">
        <v>8739.51</v>
      </c>
      <c r="EP82" s="278">
        <v>0.43140529406623446</v>
      </c>
      <c r="EQ82" s="289">
        <v>859038</v>
      </c>
      <c r="ER82" s="290">
        <f t="shared" si="31"/>
        <v>126.40588707717556</v>
      </c>
      <c r="ES82" s="291">
        <f t="shared" si="23"/>
        <v>0.51195881397484599</v>
      </c>
      <c r="ET82" s="402">
        <v>0</v>
      </c>
      <c r="EV82" s="34"/>
      <c r="EW82" s="34"/>
      <c r="EX82" s="34"/>
      <c r="EY82" s="34"/>
      <c r="EZ82" s="378"/>
      <c r="FA82" s="401"/>
      <c r="FB82" s="402"/>
      <c r="FC82" s="402"/>
    </row>
    <row r="83" spans="1:159" ht="17" customHeight="1">
      <c r="EC83" s="412" t="s">
        <v>481</v>
      </c>
      <c r="ED83" s="412" t="s">
        <v>584</v>
      </c>
      <c r="EE83" s="412">
        <v>2599.7966999999999</v>
      </c>
      <c r="EF83" s="412">
        <v>0.17076241811950377</v>
      </c>
      <c r="EG83" s="413">
        <v>859039</v>
      </c>
      <c r="EH83" s="414">
        <f t="shared" si="29"/>
        <v>15.776396712909035</v>
      </c>
      <c r="EI83" s="415">
        <f t="shared" si="30"/>
        <v>6.3896275218624426E-2</v>
      </c>
      <c r="EJ83" s="402">
        <v>0</v>
      </c>
      <c r="EM83" s="278" t="s">
        <v>481</v>
      </c>
      <c r="EN83" s="278" t="s">
        <v>584</v>
      </c>
      <c r="EO83" s="278">
        <v>2599.7966999999999</v>
      </c>
      <c r="EP83" s="278">
        <v>0.17076241811950377</v>
      </c>
      <c r="EQ83" s="289">
        <v>859039</v>
      </c>
      <c r="ER83" s="290">
        <f t="shared" si="31"/>
        <v>15.776396712909035</v>
      </c>
      <c r="ES83" s="291">
        <f t="shared" si="23"/>
        <v>6.3896275218624426E-2</v>
      </c>
      <c r="ET83" s="402">
        <v>0</v>
      </c>
      <c r="EV83" s="34"/>
      <c r="EW83" s="34"/>
      <c r="EX83" s="34"/>
      <c r="EY83" s="34"/>
      <c r="EZ83" s="378"/>
      <c r="FA83" s="401"/>
      <c r="FB83" s="402"/>
      <c r="FC83" s="402"/>
    </row>
    <row r="84" spans="1:159" ht="17" customHeight="1">
      <c r="EC84" s="412" t="s">
        <v>481</v>
      </c>
      <c r="ED84" s="412" t="s">
        <v>393</v>
      </c>
      <c r="EE84" s="412">
        <v>1032.4983</v>
      </c>
      <c r="EF84" s="412">
        <v>6.7817574509682552E-2</v>
      </c>
      <c r="EG84" s="413">
        <v>859040</v>
      </c>
      <c r="EH84" s="414">
        <f t="shared" si="29"/>
        <v>6.265529449362008</v>
      </c>
      <c r="EI84" s="415">
        <f t="shared" si="30"/>
        <v>2.5376136349262168E-2</v>
      </c>
      <c r="EJ84" s="402">
        <v>0</v>
      </c>
      <c r="EM84" s="278" t="s">
        <v>481</v>
      </c>
      <c r="EN84" s="278" t="s">
        <v>393</v>
      </c>
      <c r="EO84" s="278">
        <v>1032.4983</v>
      </c>
      <c r="EP84" s="278">
        <v>6.7817574509682552E-2</v>
      </c>
      <c r="EQ84" s="289">
        <v>859040</v>
      </c>
      <c r="ER84" s="290">
        <f t="shared" si="31"/>
        <v>6.265529449362008</v>
      </c>
      <c r="ES84" s="291">
        <f t="shared" si="23"/>
        <v>2.5376136349262168E-2</v>
      </c>
      <c r="ET84" s="402">
        <v>0</v>
      </c>
      <c r="EV84" s="34"/>
      <c r="EW84" s="34"/>
      <c r="EX84" s="34"/>
      <c r="EY84" s="34"/>
      <c r="EZ84" s="378"/>
      <c r="FA84" s="401"/>
      <c r="FB84" s="402"/>
      <c r="FC84" s="402"/>
    </row>
    <row r="85" spans="1:159" ht="17" customHeight="1">
      <c r="EC85" s="412" t="s">
        <v>481</v>
      </c>
      <c r="ED85" s="412" t="s">
        <v>130</v>
      </c>
      <c r="EE85" s="412">
        <v>1625.5998999999999</v>
      </c>
      <c r="EF85" s="412">
        <v>0.10677426039460067</v>
      </c>
      <c r="EG85" s="413">
        <v>859041</v>
      </c>
      <c r="EH85" s="414">
        <f t="shared" si="29"/>
        <v>9.8646593861994116</v>
      </c>
      <c r="EI85" s="415">
        <f t="shared" si="30"/>
        <v>3.9953038868680901E-2</v>
      </c>
      <c r="EJ85" s="402">
        <v>0</v>
      </c>
      <c r="EM85" s="278" t="s">
        <v>481</v>
      </c>
      <c r="EN85" s="278" t="s">
        <v>130</v>
      </c>
      <c r="EO85" s="278">
        <v>1625.5998999999999</v>
      </c>
      <c r="EP85" s="278">
        <v>0.10677426039460067</v>
      </c>
      <c r="EQ85" s="289">
        <v>859041</v>
      </c>
      <c r="ER85" s="290">
        <f t="shared" si="31"/>
        <v>9.8646593861994116</v>
      </c>
      <c r="ES85" s="291">
        <f t="shared" si="23"/>
        <v>3.9953038868680901E-2</v>
      </c>
      <c r="ET85" s="402">
        <v>0</v>
      </c>
      <c r="EV85" s="34"/>
      <c r="EW85" s="34"/>
      <c r="EX85" s="34"/>
      <c r="EY85" s="34"/>
      <c r="EZ85" s="378"/>
      <c r="FA85" s="401"/>
      <c r="FB85" s="402"/>
      <c r="FC85" s="402"/>
    </row>
    <row r="86" spans="1:159" ht="17" customHeight="1">
      <c r="EC86" s="412" t="s">
        <v>481</v>
      </c>
      <c r="ED86" s="412" t="s">
        <v>131</v>
      </c>
      <c r="EE86" s="412">
        <v>2880.0880999999999</v>
      </c>
      <c r="EF86" s="412">
        <v>0.18917279507017112</v>
      </c>
      <c r="EG86" s="413">
        <v>859042</v>
      </c>
      <c r="EH86" s="414">
        <f t="shared" si="29"/>
        <v>17.477294449111511</v>
      </c>
      <c r="EI86" s="415">
        <f t="shared" si="30"/>
        <v>7.0785112501867961E-2</v>
      </c>
      <c r="EJ86" s="402">
        <v>0</v>
      </c>
      <c r="EM86" s="278" t="s">
        <v>481</v>
      </c>
      <c r="EN86" s="278" t="s">
        <v>131</v>
      </c>
      <c r="EO86" s="278">
        <v>2880.0880999999999</v>
      </c>
      <c r="EP86" s="278">
        <v>0.18917279507017112</v>
      </c>
      <c r="EQ86" s="289">
        <v>859042</v>
      </c>
      <c r="ER86" s="290">
        <f t="shared" si="31"/>
        <v>17.477294449111511</v>
      </c>
      <c r="ES86" s="291">
        <f t="shared" si="23"/>
        <v>7.0785112501867961E-2</v>
      </c>
      <c r="ET86" s="402">
        <v>0</v>
      </c>
      <c r="EV86" s="34"/>
      <c r="EW86" s="34"/>
      <c r="EX86" s="34"/>
      <c r="EY86" s="34"/>
      <c r="EZ86" s="378"/>
      <c r="FA86" s="401"/>
      <c r="FB86" s="402"/>
      <c r="FC86" s="402"/>
    </row>
    <row r="87" spans="1:159" ht="17" customHeight="1">
      <c r="EC87" s="412" t="s">
        <v>481</v>
      </c>
      <c r="ED87" s="412" t="s">
        <v>132</v>
      </c>
      <c r="EE87" s="412">
        <v>687.99680000000001</v>
      </c>
      <c r="EF87" s="412">
        <v>4.5189686265268592E-2</v>
      </c>
      <c r="EG87" s="413">
        <v>859043</v>
      </c>
      <c r="EH87" s="414">
        <f t="shared" si="29"/>
        <v>4.1749843185861168</v>
      </c>
      <c r="EI87" s="415">
        <f t="shared" si="30"/>
        <v>1.6909180968778408E-2</v>
      </c>
      <c r="EJ87" s="402">
        <v>0</v>
      </c>
      <c r="EM87" s="278" t="s">
        <v>481</v>
      </c>
      <c r="EN87" s="278" t="s">
        <v>132</v>
      </c>
      <c r="EO87" s="278">
        <v>687.99680000000001</v>
      </c>
      <c r="EP87" s="278">
        <v>4.5189686265268592E-2</v>
      </c>
      <c r="EQ87" s="289">
        <v>859043</v>
      </c>
      <c r="ER87" s="290">
        <f t="shared" si="31"/>
        <v>4.1749843185861168</v>
      </c>
      <c r="ES87" s="291">
        <f t="shared" si="23"/>
        <v>1.6909180968778408E-2</v>
      </c>
      <c r="ET87" s="402">
        <v>0</v>
      </c>
      <c r="EV87" s="34"/>
      <c r="EW87" s="34"/>
      <c r="EX87" s="34"/>
      <c r="EY87" s="34"/>
      <c r="EZ87" s="378"/>
      <c r="FA87" s="401"/>
      <c r="FB87" s="402"/>
      <c r="FC87" s="402"/>
    </row>
    <row r="88" spans="1:159" ht="17" customHeight="1">
      <c r="EC88" s="412" t="s">
        <v>481</v>
      </c>
      <c r="ED88" s="412" t="s">
        <v>133</v>
      </c>
      <c r="EE88" s="412">
        <v>2308.0711000000001</v>
      </c>
      <c r="EF88" s="412">
        <v>0.15160100873569959</v>
      </c>
      <c r="EG88" s="413">
        <v>859044</v>
      </c>
      <c r="EH88" s="414">
        <f t="shared" si="29"/>
        <v>14.006112599189137</v>
      </c>
      <c r="EI88" s="415">
        <f t="shared" si="30"/>
        <v>5.6726414888423088E-2</v>
      </c>
      <c r="EJ88" s="402">
        <v>0</v>
      </c>
      <c r="EM88" s="278" t="s">
        <v>481</v>
      </c>
      <c r="EN88" s="278" t="s">
        <v>133</v>
      </c>
      <c r="EO88" s="278">
        <v>2308.0711000000001</v>
      </c>
      <c r="EP88" s="278">
        <v>0.15160100873569959</v>
      </c>
      <c r="EQ88" s="289">
        <v>859044</v>
      </c>
      <c r="ER88" s="290">
        <f t="shared" si="31"/>
        <v>14.006112599189137</v>
      </c>
      <c r="ES88" s="291">
        <f t="shared" si="23"/>
        <v>5.6726414888423088E-2</v>
      </c>
      <c r="ET88" s="402">
        <v>0</v>
      </c>
      <c r="EV88" s="34"/>
      <c r="EW88" s="34"/>
      <c r="EX88" s="34"/>
      <c r="EY88" s="34"/>
      <c r="EZ88" s="378"/>
      <c r="FA88" s="401"/>
      <c r="FB88" s="402"/>
      <c r="FC88" s="402"/>
    </row>
    <row r="89" spans="1:159" ht="17" customHeight="1">
      <c r="EC89" s="412" t="s">
        <v>481</v>
      </c>
      <c r="ED89" s="412" t="s">
        <v>134</v>
      </c>
      <c r="EE89" s="412">
        <v>4090.5911999999998</v>
      </c>
      <c r="EF89" s="412">
        <v>0.26868225690507364</v>
      </c>
      <c r="EG89" s="413">
        <v>859045</v>
      </c>
      <c r="EH89" s="414">
        <f t="shared" si="29"/>
        <v>24.82301387702147</v>
      </c>
      <c r="EI89" s="415">
        <f t="shared" si="30"/>
        <v>0.10053614620023293</v>
      </c>
      <c r="EJ89" s="402">
        <v>0</v>
      </c>
      <c r="EM89" s="278" t="s">
        <v>481</v>
      </c>
      <c r="EN89" s="278" t="s">
        <v>134</v>
      </c>
      <c r="EO89" s="278">
        <v>4090.5911999999998</v>
      </c>
      <c r="EP89" s="278">
        <v>0.26868225690507364</v>
      </c>
      <c r="EQ89" s="289">
        <v>859045</v>
      </c>
      <c r="ER89" s="290">
        <f t="shared" si="31"/>
        <v>24.82301387702147</v>
      </c>
      <c r="ES89" s="291">
        <f t="shared" si="23"/>
        <v>0.10053614620023293</v>
      </c>
      <c r="ET89" s="402">
        <v>0</v>
      </c>
      <c r="EV89" s="34"/>
      <c r="EW89" s="34"/>
      <c r="EX89" s="34"/>
      <c r="EY89" s="34"/>
      <c r="EZ89" s="378"/>
      <c r="FA89" s="401"/>
      <c r="FB89" s="402"/>
      <c r="FC89" s="402"/>
    </row>
    <row r="90" spans="1:159" ht="17" customHeight="1">
      <c r="EH90" s="230">
        <f>SUM(EH45:EH89)</f>
        <v>11025.324994211423</v>
      </c>
      <c r="EI90" s="230">
        <f>SUM(EI45:EI89)</f>
        <v>44.653872048518771</v>
      </c>
      <c r="EJ90">
        <f>SUM(EJ45:EJ89)</f>
        <v>1684.0340218921162</v>
      </c>
      <c r="ER90" s="230">
        <f>SUM(ER45:ER89)</f>
        <v>11025.324994211423</v>
      </c>
      <c r="ES90" s="230">
        <f>SUM(ES45:ES89)</f>
        <v>44.653872048518771</v>
      </c>
      <c r="ET90" s="230">
        <f>SUM(ET45:ET89)</f>
        <v>1684.0340218921162</v>
      </c>
      <c r="FA90" s="230"/>
    </row>
    <row r="91" spans="1:159" s="227" customFormat="1" ht="25.5">
      <c r="A91" s="285">
        <v>2025</v>
      </c>
      <c r="EH91" s="227">
        <f t="shared" ref="EH91:EI91" si="36">EH90</f>
        <v>11025.324994211423</v>
      </c>
      <c r="EI91" s="227">
        <f t="shared" si="36"/>
        <v>44.653872048518771</v>
      </c>
      <c r="EJ91" s="227">
        <f>EJ90</f>
        <v>1684.0340218921162</v>
      </c>
      <c r="ER91" s="230"/>
      <c r="ES91" s="230"/>
    </row>
    <row r="92" spans="1:159" ht="25.5" customHeight="1" thickBot="1">
      <c r="A92" s="32" t="s">
        <v>469</v>
      </c>
      <c r="C92" t="s">
        <v>463</v>
      </c>
      <c r="D92" t="s">
        <v>467</v>
      </c>
      <c r="E92" t="s">
        <v>464</v>
      </c>
      <c r="F92" t="s">
        <v>465</v>
      </c>
      <c r="G92" t="s">
        <v>466</v>
      </c>
      <c r="H92" t="s">
        <v>21</v>
      </c>
      <c r="K92" s="32" t="s">
        <v>471</v>
      </c>
      <c r="CV92" s="32" t="s">
        <v>492</v>
      </c>
      <c r="CY92" t="s">
        <v>478</v>
      </c>
      <c r="CZ92" t="s">
        <v>479</v>
      </c>
      <c r="EC92" s="353" t="s">
        <v>858</v>
      </c>
      <c r="EI92" t="s">
        <v>599</v>
      </c>
      <c r="ES92" t="s">
        <v>600</v>
      </c>
      <c r="EV92" s="353"/>
    </row>
    <row r="93" spans="1:159" ht="25.5" customHeight="1">
      <c r="A93" t="s">
        <v>462</v>
      </c>
      <c r="C93" t="s">
        <v>427</v>
      </c>
      <c r="D93" t="s">
        <v>428</v>
      </c>
      <c r="E93" t="s">
        <v>429</v>
      </c>
      <c r="F93" t="s">
        <v>430</v>
      </c>
      <c r="G93" t="s">
        <v>431</v>
      </c>
      <c r="H93" t="s">
        <v>457</v>
      </c>
      <c r="K93" s="159" t="s">
        <v>482</v>
      </c>
      <c r="L93" s="159"/>
      <c r="M93" s="538" t="s">
        <v>463</v>
      </c>
      <c r="N93" s="539"/>
      <c r="O93" s="539"/>
      <c r="P93" s="539"/>
      <c r="Q93" s="539"/>
      <c r="R93" s="539"/>
      <c r="S93" s="539"/>
      <c r="T93" s="539"/>
      <c r="U93" s="539"/>
      <c r="V93" s="539"/>
      <c r="W93" s="539"/>
      <c r="X93" s="539"/>
      <c r="Y93" s="539"/>
      <c r="Z93" s="540"/>
      <c r="AA93" s="538" t="s">
        <v>467</v>
      </c>
      <c r="AB93" s="539"/>
      <c r="AC93" s="539"/>
      <c r="AD93" s="539"/>
      <c r="AE93" s="539"/>
      <c r="AF93" s="539"/>
      <c r="AG93" s="539"/>
      <c r="AH93" s="539"/>
      <c r="AI93" s="539"/>
      <c r="AJ93" s="539"/>
      <c r="AK93" s="539"/>
      <c r="AL93" s="539"/>
      <c r="AM93" s="539"/>
      <c r="AN93" s="540"/>
      <c r="AO93" s="538" t="s">
        <v>464</v>
      </c>
      <c r="AP93" s="539"/>
      <c r="AQ93" s="539"/>
      <c r="AR93" s="539"/>
      <c r="AS93" s="539"/>
      <c r="AT93" s="539"/>
      <c r="AU93" s="539"/>
      <c r="AV93" s="539"/>
      <c r="AW93" s="539"/>
      <c r="AX93" s="539"/>
      <c r="AY93" s="539"/>
      <c r="AZ93" s="539"/>
      <c r="BA93" s="539"/>
      <c r="BB93" s="540"/>
      <c r="BC93" s="538" t="s">
        <v>465</v>
      </c>
      <c r="BD93" s="539"/>
      <c r="BE93" s="539"/>
      <c r="BF93" s="539"/>
      <c r="BG93" s="539"/>
      <c r="BH93" s="539"/>
      <c r="BI93" s="539"/>
      <c r="BJ93" s="539"/>
      <c r="BK93" s="539"/>
      <c r="BL93" s="539"/>
      <c r="BM93" s="539"/>
      <c r="BN93" s="539"/>
      <c r="BO93" s="539"/>
      <c r="BP93" s="540"/>
      <c r="BQ93" s="538" t="s">
        <v>466</v>
      </c>
      <c r="BR93" s="539"/>
      <c r="BS93" s="539"/>
      <c r="BT93" s="539"/>
      <c r="BU93" s="539"/>
      <c r="BV93" s="539"/>
      <c r="BW93" s="539"/>
      <c r="BX93" s="539"/>
      <c r="BY93" s="539"/>
      <c r="BZ93" s="539"/>
      <c r="CA93" s="539"/>
      <c r="CB93" s="539"/>
      <c r="CC93" s="539"/>
      <c r="CD93" s="540"/>
      <c r="CE93" s="538" t="s">
        <v>21</v>
      </c>
      <c r="CF93" s="539"/>
      <c r="CG93" s="539"/>
      <c r="CH93" s="539"/>
      <c r="CI93" s="539"/>
      <c r="CJ93" s="539"/>
      <c r="CK93" s="539"/>
      <c r="CL93" s="539"/>
      <c r="CM93" s="539"/>
      <c r="CN93" s="539"/>
      <c r="CO93" s="539"/>
      <c r="CP93" s="539"/>
      <c r="CQ93" s="539"/>
      <c r="CR93" s="540"/>
      <c r="CV93" s="263" t="s">
        <v>482</v>
      </c>
      <c r="CW93" s="263"/>
      <c r="CX93" s="541" t="s">
        <v>554</v>
      </c>
      <c r="CY93" s="541"/>
      <c r="CZ93" s="541"/>
      <c r="DA93" s="541"/>
      <c r="DB93" s="542" t="s">
        <v>553</v>
      </c>
      <c r="DC93" s="541"/>
      <c r="DD93" s="541"/>
      <c r="DE93" s="541"/>
      <c r="DF93" s="542" t="s">
        <v>464</v>
      </c>
      <c r="DG93" s="541"/>
      <c r="DH93" s="541"/>
      <c r="DI93" s="541"/>
      <c r="DJ93" s="542" t="s">
        <v>465</v>
      </c>
      <c r="DK93" s="541"/>
      <c r="DL93" s="541"/>
      <c r="DM93" s="541"/>
      <c r="DN93" s="542" t="s">
        <v>466</v>
      </c>
      <c r="DO93" s="541"/>
      <c r="DP93" s="541"/>
      <c r="DQ93" s="541"/>
      <c r="DR93" s="542" t="s">
        <v>21</v>
      </c>
      <c r="DS93" s="541"/>
      <c r="DT93" s="541"/>
      <c r="DU93" s="541"/>
      <c r="DW93" s="278"/>
      <c r="DX93" s="278"/>
      <c r="DY93" s="442" t="s">
        <v>588</v>
      </c>
      <c r="DZ93" s="442"/>
      <c r="EC93" s="412" t="s">
        <v>564</v>
      </c>
      <c r="ED93" s="412" t="s">
        <v>565</v>
      </c>
      <c r="EE93" s="412" t="s">
        <v>566</v>
      </c>
      <c r="EF93" s="412" t="s">
        <v>562</v>
      </c>
      <c r="EG93" s="417" t="s">
        <v>597</v>
      </c>
      <c r="EH93" s="418" t="s">
        <v>585</v>
      </c>
      <c r="EI93" s="419" t="s">
        <v>536</v>
      </c>
      <c r="EJ93" s="377" t="s">
        <v>856</v>
      </c>
      <c r="EM93" s="278" t="s">
        <v>564</v>
      </c>
      <c r="EN93" s="278" t="s">
        <v>565</v>
      </c>
      <c r="EO93" s="278" t="s">
        <v>566</v>
      </c>
      <c r="EP93" s="278" t="s">
        <v>562</v>
      </c>
      <c r="EQ93" s="286" t="s">
        <v>598</v>
      </c>
      <c r="ER93" s="287" t="s">
        <v>820</v>
      </c>
      <c r="ES93" s="288" t="s">
        <v>536</v>
      </c>
      <c r="ET93" s="377" t="s">
        <v>821</v>
      </c>
      <c r="EV93" s="34"/>
      <c r="EW93" s="34"/>
      <c r="EX93" s="34"/>
      <c r="EY93" s="34"/>
      <c r="EZ93" s="375"/>
      <c r="FA93" s="376"/>
      <c r="FB93" s="377"/>
      <c r="FC93" s="377"/>
    </row>
    <row r="94" spans="1:159">
      <c r="A94" s="199"/>
      <c r="B94" s="199"/>
      <c r="C94" s="202" t="s">
        <v>463</v>
      </c>
      <c r="D94" s="202" t="s">
        <v>467</v>
      </c>
      <c r="E94" s="202" t="s">
        <v>464</v>
      </c>
      <c r="F94" s="202" t="s">
        <v>465</v>
      </c>
      <c r="G94" s="202" t="s">
        <v>466</v>
      </c>
      <c r="H94" s="202" t="s">
        <v>21</v>
      </c>
      <c r="K94" s="159"/>
      <c r="L94" s="159"/>
      <c r="M94" s="211" t="s">
        <v>472</v>
      </c>
      <c r="N94" s="160" t="s">
        <v>156</v>
      </c>
      <c r="O94" s="160" t="s">
        <v>475</v>
      </c>
      <c r="P94" s="160" t="s">
        <v>476</v>
      </c>
      <c r="Q94" s="160" t="s">
        <v>477</v>
      </c>
      <c r="R94" s="160" t="s">
        <v>478</v>
      </c>
      <c r="S94" s="160" t="s">
        <v>479</v>
      </c>
      <c r="T94" s="160" t="s">
        <v>480</v>
      </c>
      <c r="U94" s="160" t="s">
        <v>449</v>
      </c>
      <c r="V94" s="160" t="s">
        <v>157</v>
      </c>
      <c r="W94" s="160" t="s">
        <v>473</v>
      </c>
      <c r="X94" s="160" t="s">
        <v>474</v>
      </c>
      <c r="Y94" s="160" t="s">
        <v>46</v>
      </c>
      <c r="Z94" s="212" t="s">
        <v>11</v>
      </c>
      <c r="AA94" s="211" t="s">
        <v>472</v>
      </c>
      <c r="AB94" s="160" t="s">
        <v>156</v>
      </c>
      <c r="AC94" s="160" t="s">
        <v>475</v>
      </c>
      <c r="AD94" s="160" t="s">
        <v>476</v>
      </c>
      <c r="AE94" s="160" t="s">
        <v>477</v>
      </c>
      <c r="AF94" s="160" t="s">
        <v>478</v>
      </c>
      <c r="AG94" s="160" t="s">
        <v>479</v>
      </c>
      <c r="AH94" s="160" t="s">
        <v>480</v>
      </c>
      <c r="AI94" s="160" t="s">
        <v>449</v>
      </c>
      <c r="AJ94" s="160" t="s">
        <v>157</v>
      </c>
      <c r="AK94" s="160" t="s">
        <v>473</v>
      </c>
      <c r="AL94" s="160" t="s">
        <v>474</v>
      </c>
      <c r="AM94" s="160" t="s">
        <v>46</v>
      </c>
      <c r="AN94" s="212" t="s">
        <v>11</v>
      </c>
      <c r="AO94" s="211" t="s">
        <v>472</v>
      </c>
      <c r="AP94" s="160" t="s">
        <v>156</v>
      </c>
      <c r="AQ94" s="160" t="s">
        <v>475</v>
      </c>
      <c r="AR94" s="160" t="s">
        <v>476</v>
      </c>
      <c r="AS94" s="160" t="s">
        <v>477</v>
      </c>
      <c r="AT94" s="160" t="s">
        <v>478</v>
      </c>
      <c r="AU94" s="160" t="s">
        <v>479</v>
      </c>
      <c r="AV94" s="160" t="s">
        <v>480</v>
      </c>
      <c r="AW94" s="160" t="s">
        <v>449</v>
      </c>
      <c r="AX94" s="160" t="s">
        <v>157</v>
      </c>
      <c r="AY94" s="160" t="s">
        <v>473</v>
      </c>
      <c r="AZ94" s="160" t="s">
        <v>474</v>
      </c>
      <c r="BA94" s="160" t="s">
        <v>46</v>
      </c>
      <c r="BB94" s="212" t="s">
        <v>11</v>
      </c>
      <c r="BC94" s="211" t="s">
        <v>472</v>
      </c>
      <c r="BD94" s="160" t="s">
        <v>156</v>
      </c>
      <c r="BE94" s="160" t="s">
        <v>475</v>
      </c>
      <c r="BF94" s="160" t="s">
        <v>476</v>
      </c>
      <c r="BG94" s="160" t="s">
        <v>477</v>
      </c>
      <c r="BH94" s="160" t="s">
        <v>478</v>
      </c>
      <c r="BI94" s="160" t="s">
        <v>479</v>
      </c>
      <c r="BJ94" s="160" t="s">
        <v>480</v>
      </c>
      <c r="BK94" s="160" t="s">
        <v>449</v>
      </c>
      <c r="BL94" s="160" t="s">
        <v>157</v>
      </c>
      <c r="BM94" s="160" t="s">
        <v>473</v>
      </c>
      <c r="BN94" s="160" t="s">
        <v>474</v>
      </c>
      <c r="BO94" s="160" t="s">
        <v>46</v>
      </c>
      <c r="BP94" s="212" t="s">
        <v>11</v>
      </c>
      <c r="BQ94" s="211" t="s">
        <v>472</v>
      </c>
      <c r="BR94" s="160" t="s">
        <v>156</v>
      </c>
      <c r="BS94" s="160" t="s">
        <v>475</v>
      </c>
      <c r="BT94" s="160" t="s">
        <v>476</v>
      </c>
      <c r="BU94" s="160" t="s">
        <v>477</v>
      </c>
      <c r="BV94" s="160" t="s">
        <v>478</v>
      </c>
      <c r="BW94" s="160" t="s">
        <v>479</v>
      </c>
      <c r="BX94" s="160" t="s">
        <v>480</v>
      </c>
      <c r="BY94" s="160" t="s">
        <v>449</v>
      </c>
      <c r="BZ94" s="160" t="s">
        <v>157</v>
      </c>
      <c r="CA94" s="160" t="s">
        <v>473</v>
      </c>
      <c r="CB94" s="160" t="s">
        <v>474</v>
      </c>
      <c r="CC94" s="160" t="s">
        <v>46</v>
      </c>
      <c r="CD94" s="212" t="s">
        <v>11</v>
      </c>
      <c r="CE94" s="211" t="s">
        <v>472</v>
      </c>
      <c r="CF94" s="160" t="s">
        <v>156</v>
      </c>
      <c r="CG94" s="160" t="s">
        <v>475</v>
      </c>
      <c r="CH94" s="160" t="s">
        <v>476</v>
      </c>
      <c r="CI94" s="160" t="s">
        <v>477</v>
      </c>
      <c r="CJ94" s="160" t="s">
        <v>478</v>
      </c>
      <c r="CK94" s="160" t="s">
        <v>479</v>
      </c>
      <c r="CL94" s="160" t="s">
        <v>480</v>
      </c>
      <c r="CM94" s="160" t="s">
        <v>449</v>
      </c>
      <c r="CN94" s="160" t="s">
        <v>157</v>
      </c>
      <c r="CO94" s="160" t="s">
        <v>473</v>
      </c>
      <c r="CP94" s="160" t="s">
        <v>474</v>
      </c>
      <c r="CQ94" s="160" t="s">
        <v>46</v>
      </c>
      <c r="CR94" s="212" t="s">
        <v>11</v>
      </c>
      <c r="CV94" s="263"/>
      <c r="CW94" s="263"/>
      <c r="CX94" s="264" t="s">
        <v>156</v>
      </c>
      <c r="CY94" s="264" t="s">
        <v>478</v>
      </c>
      <c r="CZ94" s="264" t="s">
        <v>479</v>
      </c>
      <c r="DA94" s="264" t="s">
        <v>157</v>
      </c>
      <c r="DB94" s="264" t="s">
        <v>156</v>
      </c>
      <c r="DC94" s="264" t="s">
        <v>478</v>
      </c>
      <c r="DD94" s="264" t="s">
        <v>479</v>
      </c>
      <c r="DE94" s="264" t="s">
        <v>157</v>
      </c>
      <c r="DF94" s="264" t="s">
        <v>156</v>
      </c>
      <c r="DG94" s="264" t="s">
        <v>478</v>
      </c>
      <c r="DH94" s="264" t="s">
        <v>479</v>
      </c>
      <c r="DI94" s="264" t="s">
        <v>157</v>
      </c>
      <c r="DJ94" s="264" t="s">
        <v>156</v>
      </c>
      <c r="DK94" s="264" t="s">
        <v>478</v>
      </c>
      <c r="DL94" s="264" t="s">
        <v>479</v>
      </c>
      <c r="DM94" s="264" t="s">
        <v>157</v>
      </c>
      <c r="DN94" s="264" t="s">
        <v>156</v>
      </c>
      <c r="DO94" s="264" t="s">
        <v>478</v>
      </c>
      <c r="DP94" s="264" t="s">
        <v>479</v>
      </c>
      <c r="DQ94" s="264" t="s">
        <v>157</v>
      </c>
      <c r="DR94" s="264" t="s">
        <v>156</v>
      </c>
      <c r="DS94" s="264" t="s">
        <v>478</v>
      </c>
      <c r="DT94" s="264" t="s">
        <v>479</v>
      </c>
      <c r="DU94" s="264" t="s">
        <v>157</v>
      </c>
      <c r="DW94" s="278"/>
      <c r="DX94" s="278"/>
      <c r="DY94" s="280" t="s">
        <v>586</v>
      </c>
      <c r="DZ94" s="280" t="s">
        <v>587</v>
      </c>
      <c r="EC94" s="412" t="s">
        <v>12</v>
      </c>
      <c r="ED94" s="412" t="s">
        <v>567</v>
      </c>
      <c r="EE94" s="412">
        <v>11477.778199999999</v>
      </c>
      <c r="EF94" s="412">
        <v>1</v>
      </c>
      <c r="EG94" s="413">
        <v>859001</v>
      </c>
      <c r="EH94" s="414">
        <f>VLOOKUP($EM94,$DX$94:$DZ$103,2,FALSE)*$EF94*$BB$11*(1-$BD$7)</f>
        <v>46.34137819376658</v>
      </c>
      <c r="EI94" s="415">
        <f>VLOOKUP($EM94,$DX$94:$DZ$103,3,FALSE)*$EF94*$BB$11*(1-$BD$7)</f>
        <v>0.18432171675041165</v>
      </c>
      <c r="EJ94" s="402">
        <v>0</v>
      </c>
      <c r="EM94" s="278" t="s">
        <v>12</v>
      </c>
      <c r="EN94" s="278" t="s">
        <v>567</v>
      </c>
      <c r="EO94" s="278">
        <v>11477.778199999999</v>
      </c>
      <c r="EP94" s="278">
        <v>1</v>
      </c>
      <c r="EQ94" s="289">
        <v>859001</v>
      </c>
      <c r="ER94" s="290">
        <f t="shared" ref="ER94:ER138" si="37">EH94*$EA$38</f>
        <v>46.34137819376658</v>
      </c>
      <c r="ES94" s="291">
        <f t="shared" ref="ES94:ES138" si="38">EI94*$EA$38</f>
        <v>0.18432171675041165</v>
      </c>
      <c r="ET94" s="402">
        <v>0</v>
      </c>
      <c r="EV94" s="34"/>
      <c r="EW94" s="34"/>
      <c r="EX94" s="34"/>
      <c r="EY94" s="34"/>
      <c r="EZ94" s="378"/>
      <c r="FA94" s="401"/>
      <c r="FB94" s="402"/>
      <c r="FC94" s="402"/>
    </row>
    <row r="95" spans="1:159">
      <c r="A95" s="205"/>
      <c r="B95" s="205" t="s">
        <v>12</v>
      </c>
      <c r="C95" s="400">
        <f>'A.일산테크노밸리(859991)_수정'!$P28*KTDB_TripDistribution_2040!T$12 * (1+KTDB_발생량도착량_증가율!$D$8 *5) * (1+KTDB_발생량도착량_증가율!$E$8 *5) * (1+KTDB_발생량도착량_증가율!$F$8 *5)</f>
        <v>18.693595390933631</v>
      </c>
      <c r="D95" s="400">
        <f>'A.일산테크노밸리(859991)_수정'!$P28*KTDB_TripDistribution_2040!U$12 * (1+KTDB_발생량도착량_증가율!$D$8 *5) * (1+KTDB_발생량도착량_증가율!$E$8 *5) * (1+KTDB_발생량도착량_증가율!$F$8 *5)</f>
        <v>135.28937421175212</v>
      </c>
      <c r="E95" s="400">
        <f>'A.일산테크노밸리(859991)_수정'!$P28*KTDB_TripDistribution_2040!V$12 * (1+KTDB_발생량도착량_증가율!$D$8 *5) * (1+KTDB_발생량도착량_증가율!$E$8 *5) * (1+KTDB_발생량도착량_증가율!$F$8 *5)</f>
        <v>7.7612165292066972</v>
      </c>
      <c r="F95" s="400">
        <f>'A.일산테크노밸리(859991)_수정'!$P28*KTDB_TripDistribution_2040!W$12 * (1+KTDB_발생량도착량_증가율!$D$8 *5) * (1+KTDB_발생량도착량_증가율!$E$8 *5) * (1+KTDB_발생량도착량_증가율!$F$8 *5)</f>
        <v>1.2196778202001138E-2</v>
      </c>
      <c r="G95" s="400">
        <f>'A.일산테크노밸리(859991)_수정'!$P28*KTDB_TripDistribution_2040!X$12 * (1+KTDB_발생량도착량_증가율!$D$8 *5) * (1+KTDB_발생량도착량_증가율!$E$8 *5) * (1+KTDB_발생량도착량_증가율!$F$8 *5)</f>
        <v>4.6076717652004148E-2</v>
      </c>
      <c r="H95" s="400">
        <f>'A.일산테크노밸리(859991)_수정'!$P28*KTDB_TripDistribution_2040!Y$12 * (1+KTDB_발생량도착량_증가율!$D$8 *5) * (1+KTDB_발생량도착량_증가율!$E$8 *5) * (1+KTDB_발생량도착량_증가율!$F$8 *5)</f>
        <v>161.80245962774643</v>
      </c>
      <c r="J95" s="230">
        <f>CR95</f>
        <v>161.80245962774646</v>
      </c>
      <c r="K95" s="206"/>
      <c r="L95" s="209" t="s">
        <v>12</v>
      </c>
      <c r="M95" s="213">
        <f>INDEX($A$94:$H$106,MATCH($L95,$B$94:$B$106,0),MATCH($M$93,$A$94:$H$94,0))*고양시_Modal_split!C$3 * 0.01</f>
        <v>5.2342067094614163E-2</v>
      </c>
      <c r="N95" s="213">
        <f>INDEX($A$94:$H$106,MATCH($L95,$B$94:$B$106,0),MATCH($M$93,$A$94:$H$94,0))*고양시_Modal_split!D$3 * 0.01</f>
        <v>8.791597912356087</v>
      </c>
      <c r="O95" s="213">
        <f>INDEX($A$94:$H$106,MATCH($L95,$B$94:$B$106,0),MATCH($M$93,$A$94:$H$94,0))*고양시_Modal_split!E$3 * 0.01</f>
        <v>1.0636655777441235</v>
      </c>
      <c r="P95" s="213">
        <f>INDEX($A$94:$H$106,MATCH($L95,$B$94:$B$106,0),MATCH($M$93,$A$94:$H$94,0))*고양시_Modal_split!F$3 * 0.01</f>
        <v>1.714202697348614</v>
      </c>
      <c r="Q95" s="213">
        <f>INDEX($A$94:$H$106,MATCH($L95,$B$94:$B$106,0),MATCH($M$93,$A$94:$H$94,0))*고양시_Modal_split!G$3 * 0.01</f>
        <v>0.1719810775965894</v>
      </c>
      <c r="R95" s="213">
        <f>INDEX($A$94:$H$106,MATCH($L95,$B$94:$B$106,0),MATCH($M$93,$A$94:$H$94,0))*고양시_Modal_split!H$3 * 0.01</f>
        <v>1.8693595390933632E-3</v>
      </c>
      <c r="S95" s="213">
        <f>INDEX($A$94:$H$106,MATCH($L95,$B$94:$B$106,0),MATCH($M$93,$A$94:$H$94,0))*고양시_Modal_split!I$3 * 0.01</f>
        <v>0.51968195186795496</v>
      </c>
      <c r="T95" s="213">
        <f>INDEX($A$94:$H$106,MATCH($L95,$B$94:$B$106,0),MATCH($M$93,$A$94:$H$94,0))*고양시_Modal_split!J$3 * 0.01</f>
        <v>5.6903304370001981</v>
      </c>
      <c r="U95" s="213">
        <f>INDEX($A$94:$H$106,MATCH($L95,$B$94:$B$106,0),MATCH($M$93,$A$94:$H$94,0))*고양시_Modal_split!K$3 * 0.01</f>
        <v>2.8040393086400446E-2</v>
      </c>
      <c r="V95" s="213">
        <f>INDEX($A$94:$H$106,MATCH($L95,$B$94:$B$106,0),MATCH($M$93,$A$94:$H$94,0))*고양시_Modal_split!L$3 * 0.01</f>
        <v>0.56454658080619569</v>
      </c>
      <c r="W95" s="213">
        <f>INDEX($A$94:$H$106,MATCH($L95,$B$94:$B$106,0),MATCH($M$93,$A$94:$H$94,0))*고양시_Modal_split!M$3 * 0.01</f>
        <v>4.299526939914735E-2</v>
      </c>
      <c r="X95" s="213">
        <f>INDEX($A$94:$H$106,MATCH($L95,$B$94:$B$106,0),MATCH($M$93,$A$94:$H$94,0))*고양시_Modal_split!N$3 * 0.01</f>
        <v>1.869359539093363E-2</v>
      </c>
      <c r="Y95" s="213">
        <f>INDEX($A$94:$H$106,MATCH($L95,$B$94:$B$106,0),MATCH($M$93,$A$94:$H$94,0))*고양시_Modal_split!O$3 * 0.01</f>
        <v>3.3648471703680537E-2</v>
      </c>
      <c r="Z95" s="213">
        <f>INDEX($A$94:$H$106,MATCH($L95,$B$94:$B$106,0),MATCH($M$93,$A$94:$H$94,0))*고양시_Modal_split!P$3 * 0.01</f>
        <v>18.693595390933631</v>
      </c>
      <c r="AA95" s="213">
        <f>INDEX($A$94:$H$106,MATCH($L95,$B$94:$B$106,0),MATCH($AA$93,$A$94:$H$94,0))*고양시_Modal_split!C$4 * 0.01</f>
        <v>41.182085510057348</v>
      </c>
      <c r="AB95" s="213">
        <f>INDEX($A$94:$H$106,MATCH($L95,$B$94:$B$106,0),MATCH($AA$93,$A$94:$H$94,0))*고양시_Modal_split!D$4 * 0.01</f>
        <v>43.3873023097089</v>
      </c>
      <c r="AC95" s="213">
        <f>INDEX($A$94:$H$106,MATCH($L95,$B$94:$B$106,0),MATCH($AA$93,$A$94:$H$94,0))*고양시_Modal_split!E$4 * 0.01</f>
        <v>10.511984376253141</v>
      </c>
      <c r="AD95" s="213">
        <f>INDEX($A$94:$H$106,MATCH($L95,$B$94:$B$106,0),MATCH($AA$93,$A$94:$H$94,0))*고양시_Modal_split!F$4 * 0.01</f>
        <v>1.2852490550116451</v>
      </c>
      <c r="AE95" s="213">
        <f>INDEX($A$94:$H$106,MATCH($L95,$B$94:$B$106,0),MATCH($AA$93,$A$94:$H$94,0))*고양시_Modal_split!G$4 * 0.01</f>
        <v>15.842385720196171</v>
      </c>
      <c r="AF95" s="213">
        <f>INDEX($A$94:$H$106,MATCH($L95,$B$94:$B$106,0),MATCH($AA$93,$A$94:$H$94,0))*고양시_Modal_split!H$4 * 0.01</f>
        <v>0</v>
      </c>
      <c r="AG95" s="213">
        <f>INDEX($A$94:$H$106,MATCH($L95,$B$94:$B$106,0),MATCH($AA$93,$A$94:$H$94,0))*고양시_Modal_split!I$4 * 0.01</f>
        <v>4.7080702225689732</v>
      </c>
      <c r="AH95" s="213">
        <f>INDEX($A$94:$H$106,MATCH($L95,$B$94:$B$106,0),MATCH($AA$93,$A$94:$H$94,0))*고양시_Modal_split!J$4 * 0.01</f>
        <v>6.3721295253735253</v>
      </c>
      <c r="AI95" s="213">
        <f>INDEX($A$94:$H$106,MATCH($L95,$B$94:$B$106,0),MATCH($AA$93,$A$94:$H$94,0))*고양시_Modal_split!K$4 * 0.01</f>
        <v>0</v>
      </c>
      <c r="AJ95" s="213">
        <f>INDEX($A$94:$H$106,MATCH($L95,$B$94:$B$106,0),MATCH($AA$93,$A$94:$H$94,0))*고양시_Modal_split!L$4 * 0.01</f>
        <v>6.250369088582949</v>
      </c>
      <c r="AK95" s="213">
        <f>INDEX($A$94:$H$106,MATCH($L95,$B$94:$B$106,0),MATCH($AA$93,$A$94:$H$94,0))*고양시_Modal_split!M$4 * 0.01</f>
        <v>0.90643880721873926</v>
      </c>
      <c r="AL95" s="213">
        <f>INDEX($A$94:$H$106,MATCH($L95,$B$94:$B$106,0),MATCH($AA$93,$A$94:$H$94,0))*고양시_Modal_split!N$4 * 0.01</f>
        <v>3.3822343552938032</v>
      </c>
      <c r="AM95" s="213">
        <f>INDEX($A$94:$H$106,MATCH($L95,$B$94:$B$106,0),MATCH($AA$93,$A$94:$H$94,0))*고양시_Modal_split!O$4 * 0.01</f>
        <v>1.4611252414869231</v>
      </c>
      <c r="AN95" s="213">
        <f>INDEX($A$94:$H$106,MATCH($L95,$B$94:$B$106,0),MATCH($AA$93,$A$94:$H$94,0))*고양시_Modal_split!P$4 * 0.01</f>
        <v>135.28937421175212</v>
      </c>
      <c r="AO95" s="213">
        <f>INDEX($A$94:$H$106,MATCH($L95,$B$94:$B$106,0),MATCH($AO$93,$A$94:$H$94,0))*고양시_Modal_split!C$5 * 0.01</f>
        <v>4.6567299175240186E-3</v>
      </c>
      <c r="AP95" s="213">
        <f>INDEX($A$94:$H$106,MATCH($L95,$B$94:$B$106,0),MATCH($AO$93,$A$94:$H$94,0))*고양시_Modal_split!D$5 * 0.01</f>
        <v>5.6874194726026683</v>
      </c>
      <c r="AQ95" s="213">
        <f>INDEX($A$94:$H$106,MATCH($L95,$B$94:$B$106,0),MATCH($AO$93,$A$94:$H$94,0))*고양시_Modal_split!E$5 * 0.01</f>
        <v>0.76447982812685966</v>
      </c>
      <c r="AR95" s="213">
        <f>INDEX($A$94:$H$106,MATCH($L95,$B$94:$B$106,0),MATCH($AO$93,$A$94:$H$94,0))*고양시_Modal_split!F$5 * 0.01</f>
        <v>0.16298554711334068</v>
      </c>
      <c r="AS95" s="213">
        <f>INDEX($A$94:$H$106,MATCH($L95,$B$94:$B$106,0),MATCH($AO$93,$A$94:$H$94,0))*고양시_Modal_split!G$5 * 0.01</f>
        <v>5.044790743984353E-2</v>
      </c>
      <c r="AT95" s="213">
        <f>INDEX($A$94:$H$106,MATCH($L95,$B$94:$B$106,0),MATCH($AO$93,$A$94:$H$94,0))*고양시_Modal_split!H$5 * 0.01</f>
        <v>5.4328515704446878E-3</v>
      </c>
      <c r="AU95" s="213">
        <f>INDEX($A$94:$H$106,MATCH($L95,$B$94:$B$106,0),MATCH($AO$93,$A$94:$H$94,0))*고양시_Modal_split!I$5 * 0.01</f>
        <v>0.21498569785902549</v>
      </c>
      <c r="AV95" s="213">
        <f>INDEX($A$94:$H$106,MATCH($L95,$B$94:$B$106,0),MATCH($AO$93,$A$94:$H$94,0))*고양시_Modal_split!J$5 * 0.01</f>
        <v>0.48662827638125999</v>
      </c>
      <c r="AW95" s="213">
        <f>INDEX($A$94:$H$106,MATCH($L95,$B$94:$B$106,0),MATCH($AO$93,$A$94:$H$94,0))*고양시_Modal_split!K$5 * 0.01</f>
        <v>1.5522433058413397E-3</v>
      </c>
      <c r="AX95" s="213">
        <f>INDEX($A$94:$H$106,MATCH($L95,$B$94:$B$106,0),MATCH($AO$93,$A$94:$H$94,0))*고양시_Modal_split!L$5 * 0.01</f>
        <v>0.19791102149477077</v>
      </c>
      <c r="AY95" s="213">
        <f>INDEX($A$94:$H$106,MATCH($L95,$B$94:$B$106,0),MATCH($AO$93,$A$94:$H$94,0))*고양시_Modal_split!M$5 * 0.01</f>
        <v>5.2000150745684877E-2</v>
      </c>
      <c r="AZ95" s="213">
        <f>INDEX($A$94:$H$106,MATCH($L95,$B$94:$B$106,0),MATCH($AO$93,$A$94:$H$94,0))*고양시_Modal_split!N$5 * 0.01</f>
        <v>1.3194068099651384E-2</v>
      </c>
      <c r="BA95" s="213">
        <f>INDEX($A$94:$H$106,MATCH($L95,$B$94:$B$106,0),MATCH($AO$93,$A$94:$H$94,0))*고양시_Modal_split!O$5 * 0.01</f>
        <v>0.11952273454978314</v>
      </c>
      <c r="BB95" s="213">
        <f>INDEX($A$94:$H$106,MATCH($L95,$B$94:$B$106,0),MATCH($AO$93,$A$94:$H$94,0))*고양시_Modal_split!P$5 * 0.01</f>
        <v>7.7612165292066964</v>
      </c>
      <c r="BC95" s="213">
        <f>INDEX($A$94:$H$106,MATCH($L95,$B$94:$B$106,0),MATCH($BC$93,$A$94:$H$94,0))*고양시_Modal_split!C$6 * 0.01</f>
        <v>0</v>
      </c>
      <c r="BD95" s="207">
        <f>INDEX($A$94:$H$106,MATCH($L95,$B$94:$B$106,0),MATCH($BC$93,$A$94:$H$94,0))*고양시_Modal_split!D$6 * 0.01</f>
        <v>1.0100152029077141E-2</v>
      </c>
      <c r="BE95" s="207">
        <f>INDEX($A$94:$H$106,MATCH($L95,$B$94:$B$106,0),MATCH($BC$93,$A$94:$H$94,0))*고양시_Modal_split!E$6 * 0.01</f>
        <v>5.24461462686049E-5</v>
      </c>
      <c r="BF95" s="207">
        <f>INDEX($A$94:$H$106,MATCH($L95,$B$94:$B$106,0),MATCH($BC$93,$A$94:$H$94,0))*고양시_Modal_split!F$6 * 0.01</f>
        <v>1.4880069406441389E-4</v>
      </c>
      <c r="BG95" s="207">
        <f>INDEX($A$94:$H$106,MATCH($L95,$B$94:$B$106,0),MATCH($BC$93,$A$94:$H$94,0))*고양시_Modal_split!G$6 * 0.01</f>
        <v>0</v>
      </c>
      <c r="BH95" s="207">
        <f>INDEX($A$94:$H$106,MATCH($L95,$B$94:$B$106,0),MATCH($BC$93,$A$94:$H$94,0))*고양시_Modal_split!H$6 * 0.01</f>
        <v>6.4764892252626048E-4</v>
      </c>
      <c r="BI95" s="207">
        <f>INDEX($A$94:$H$106,MATCH($L95,$B$94:$B$106,0),MATCH($BC$93,$A$94:$H$94,0))*고양시_Modal_split!I$6 * 0.01</f>
        <v>4.3176594835084032E-4</v>
      </c>
      <c r="BJ95" s="207">
        <f>INDEX($A$94:$H$106,MATCH($L95,$B$94:$B$106,0),MATCH($BC$93,$A$94:$H$94,0))*고양시_Modal_split!J$6 * 0.01</f>
        <v>6.0252084317885621E-4</v>
      </c>
      <c r="BK95" s="207">
        <f>INDEX($A$94:$H$106,MATCH($L95,$B$94:$B$106,0),MATCH($BC$93,$A$94:$H$94,0))*고양시_Modal_split!K$6 * 0.01</f>
        <v>0</v>
      </c>
      <c r="BL95" s="207">
        <f>INDEX($A$94:$H$106,MATCH($L95,$B$94:$B$106,0),MATCH($BC$93,$A$94:$H$94,0))*고양시_Modal_split!L$6 * 0.01</f>
        <v>9.2695514335208666E-5</v>
      </c>
      <c r="BM95" s="207">
        <f>INDEX($A$94:$H$106,MATCH($L95,$B$94:$B$106,0),MATCH($BC$93,$A$94:$H$94,0))*고양시_Modal_split!M$6 * 0.01</f>
        <v>1.1099068163821037E-4</v>
      </c>
      <c r="BN95" s="207">
        <f>INDEX($A$94:$H$106,MATCH($L95,$B$94:$B$106,0),MATCH($BC$93,$A$94:$H$94,0))*고양시_Modal_split!N$6 * 0.01</f>
        <v>0</v>
      </c>
      <c r="BO95" s="207">
        <f>INDEX($A$94:$H$106,MATCH($L95,$B$94:$B$106,0),MATCH($BC$93,$A$94:$H$94,0))*고양시_Modal_split!O$6 * 0.01</f>
        <v>9.7574225616009105E-6</v>
      </c>
      <c r="BP95" s="214">
        <f>INDEX($A$94:$H$106,MATCH($L95,$B$94:$B$106,0),MATCH($BC$93,$A$94:$H$94,0))*고양시_Modal_split!P$6 * 0.01</f>
        <v>1.2196778202001138E-2</v>
      </c>
      <c r="BQ95" s="213">
        <f>INDEX($A$94:$H$106,MATCH($L95,$B$94:$B$106,0),MATCH($BQ$93,$A$94:$H$94,0))*고양시_Modal_split!C$7 * 0.01</f>
        <v>0</v>
      </c>
      <c r="BR95" s="213">
        <f>INDEX($A$94:$H$106,MATCH($L95,$B$94:$B$106,0),MATCH($BQ$93,$A$94:$H$94,0))*고양시_Modal_split!D$7 * 0.01</f>
        <v>2.8235812577148144E-2</v>
      </c>
      <c r="BS95" s="213">
        <f>INDEX($A$94:$H$106,MATCH($L95,$B$94:$B$106,0),MATCH($BQ$93,$A$94:$H$94,0))*고양시_Modal_split!E$7 * 0.01</f>
        <v>1.3776938577949238E-3</v>
      </c>
      <c r="BT95" s="213">
        <f>INDEX($A$94:$H$106,MATCH($L95,$B$94:$B$106,0),MATCH($BQ$93,$A$94:$H$94,0))*고양시_Modal_split!F$7 * 0.01</f>
        <v>4.6076717652004148E-4</v>
      </c>
      <c r="BU95" s="213">
        <f>INDEX($A$94:$H$106,MATCH($L95,$B$94:$B$106,0),MATCH($BQ$93,$A$94:$H$94,0))*고양시_Modal_split!G$7 * 0.01</f>
        <v>1.9352221413841743E-4</v>
      </c>
      <c r="BV95" s="213">
        <f>INDEX($A$94:$H$106,MATCH($L95,$B$94:$B$106,0),MATCH($BQ$93,$A$94:$H$94,0))*고양시_Modal_split!H$7 * 0.01</f>
        <v>2.5756885167470319E-3</v>
      </c>
      <c r="BW95" s="213">
        <f>INDEX($A$94:$H$106,MATCH($L95,$B$94:$B$106,0),MATCH($BQ$93,$A$94:$H$94,0))*고양시_Modal_split!I$7 * 0.01</f>
        <v>8.602523185629176E-3</v>
      </c>
      <c r="BX95" s="213">
        <f>INDEX($A$94:$H$106,MATCH($L95,$B$94:$B$106,0),MATCH($BQ$93,$A$94:$H$94,0))*고양시_Modal_split!J$7 * 0.01</f>
        <v>9.2153435304008294E-6</v>
      </c>
      <c r="BY95" s="213">
        <f>INDEX($A$94:$H$106,MATCH($L95,$B$94:$B$106,0),MATCH($BQ$93,$A$94:$H$94,0))*고양시_Modal_split!K$7 * 0.01</f>
        <v>3.5479072592043194E-3</v>
      </c>
      <c r="BZ95" s="213">
        <f>INDEX($A$94:$H$106,MATCH($L95,$B$94:$B$106,0),MATCH($BQ$93,$A$94:$H$94,0))*고양시_Modal_split!L$7 * 0.01</f>
        <v>3.22537023564029E-5</v>
      </c>
      <c r="CA95" s="213">
        <f>INDEX($A$94:$H$106,MATCH($L95,$B$94:$B$106,0),MATCH($BQ$93,$A$94:$H$94,0))*고양시_Modal_split!M$7 * 0.01</f>
        <v>8.616346200924777E-4</v>
      </c>
      <c r="CB95" s="213">
        <f>INDEX($A$94:$H$106,MATCH($L95,$B$94:$B$106,0),MATCH($BQ$93,$A$94:$H$94,0))*고양시_Modal_split!N$7 * 0.01</f>
        <v>1.7969919884281617E-4</v>
      </c>
      <c r="CC95" s="213">
        <f>INDEX($A$94:$H$106,MATCH($L95,$B$94:$B$106,0),MATCH($BQ$93,$A$94:$H$94,0))*고양시_Modal_split!O$7 * 0.01</f>
        <v>0</v>
      </c>
      <c r="CD95" s="213">
        <f>INDEX($A$94:$H$106,MATCH($L95,$B$94:$B$106,0),MATCH($BQ$93,$A$94:$H$94,0))*고양시_Modal_split!P$7 * 0.01</f>
        <v>4.6076717652004148E-2</v>
      </c>
      <c r="CE95" s="218">
        <f>M95+AA95+AO95+BC95+BQ95</f>
        <v>41.239084307069483</v>
      </c>
      <c r="CF95" s="208">
        <f t="shared" ref="CF95:CF106" si="39">N95+AB95+AP95+BD95+BR95</f>
        <v>57.904655659273885</v>
      </c>
      <c r="CG95" s="208">
        <f t="shared" ref="CG95:CG106" si="40">O95+AC95+AQ95+BE95+BS95</f>
        <v>12.341559922128186</v>
      </c>
      <c r="CH95" s="208">
        <f t="shared" ref="CH95:CH106" si="41">P95+AD95+AR95+BF95+BT95</f>
        <v>3.1630468673441841</v>
      </c>
      <c r="CI95" s="208">
        <f t="shared" ref="CI95:CI106" si="42">Q95+AE95+AS95+BG95+BU95</f>
        <v>16.065008227446743</v>
      </c>
      <c r="CJ95" s="208">
        <f t="shared" ref="CJ95:CJ106" si="43">R95+AF95+AT95+BH95+BV95</f>
        <v>1.0525548548811343E-2</v>
      </c>
      <c r="CK95" s="208">
        <f t="shared" ref="CK95:CK106" si="44">S95+AG95+AU95+BI95+BW95</f>
        <v>5.4517721614299326</v>
      </c>
      <c r="CL95" s="208">
        <f t="shared" ref="CL95:CL106" si="45">T95+AH95+AV95+BJ95+BX95</f>
        <v>12.549699974941692</v>
      </c>
      <c r="CM95" s="208">
        <f t="shared" ref="CM95:CM106" si="46">U95+AI95+AW95+BK95+BY95</f>
        <v>3.3140543651446107E-2</v>
      </c>
      <c r="CN95" s="208">
        <f t="shared" ref="CN95:CN106" si="47">V95+AJ95+AX95+BL95+BZ95</f>
        <v>7.0129516401006073</v>
      </c>
      <c r="CO95" s="208">
        <f t="shared" ref="CO95:CO106" si="48">W95+AK95+AY95+BM95+CA95</f>
        <v>1.0024068526653021</v>
      </c>
      <c r="CP95" s="208">
        <f t="shared" ref="CP95:CP106" si="49">X95+AL95+AZ95+BN95+CB95</f>
        <v>3.4143017179832311</v>
      </c>
      <c r="CQ95" s="208">
        <f t="shared" ref="CQ95:CQ106" si="50">Y95+AM95+BA95+BO95+CC95</f>
        <v>1.6143062051629484</v>
      </c>
      <c r="CR95" s="219">
        <f t="shared" ref="CR95:CR106" si="51">Z95+AN95+BB95+BP95+CD95</f>
        <v>161.80245962774646</v>
      </c>
      <c r="CS95" s="225">
        <f>H95-CR95</f>
        <v>0</v>
      </c>
      <c r="CV95" s="265"/>
      <c r="CW95" s="266" t="s">
        <v>12</v>
      </c>
      <c r="CX95" s="267">
        <f>INDEX($M$93:$Z$106,MATCH($CW95,$L$93:$L$106,0),MATCH(CX$94,$M$94:$Z$94,0))/INDEX(고양시_재차인원!$D$4:$H$35,MATCH("고양시",고양시_재차인원!$B$4:$B$35,0),MATCH('A.일산테크노밸리(859991)_수정'!$CX$93,고양시_재차인원!$D$4:$H$4,0))</f>
        <v>7.8496409931750772</v>
      </c>
      <c r="CY95" s="267">
        <f>INDEX($M$93:$Z$106,MATCH($CW95,$L$93:$L$106,0),MATCH(CY$94,$M$94:$Z$94,0))/INDEX(고양시_재차인원!$K$4:$O$20,MATCH("경기도",고양시_재차인원!$K$4:$K$20,0),MATCH('A.일산테크노밸리(859991)_수정'!CY$94,고양시_재차인원!$K$4:$O$4,0))</f>
        <v>6.4930862768091809E-5</v>
      </c>
      <c r="CZ95" s="267">
        <f>INDEX($M$93:$Z$106,MATCH($CW95,$L$93:$L$106,0),MATCH(CZ$94,$M$94:$Z$94,0))/INDEX(고양시_재차인원!$K$4:$O$20,MATCH("경기도",고양시_재차인원!$K$4:$K$20,0),MATCH('A.일산테크노밸리(859991)_수정'!CZ$94,고양시_재차인원!$K$4:$O$4,0))</f>
        <v>1.8050779849529523E-2</v>
      </c>
      <c r="DA95" s="267">
        <f>INDEX($M$93:$Z$106,MATCH($CW95,$L$93:$L$106,0),MATCH(DA$94,$M$94:$Z$94,0))/INDEX(고양시_재차인원!$K$4:$O$20,MATCH("경기도",고양시_재차인원!$K$4:$K$20,0),MATCH('A.일산테크노밸리(859991)_수정'!DA$94,고양시_재차인원!$K$4:$O$4,0))</f>
        <v>0.37636438720413046</v>
      </c>
      <c r="DB95" s="267">
        <f>INDEX($AA$93:$AN$106,MATCH($CW95,$L$93:$L$106,0),MATCH(DB$94,$AA$94:$AN$94,0))/INDEX(고양시_재차인원!$D$4:$H$35,MATCH("고양시",고양시_재차인원!$B$4:$B$35,0),MATCH('A.일산테크노밸리(859991)_수정'!$DB$93,고양시_재차인원!$D$4:$H$4,0))</f>
        <v>30.77113638986447</v>
      </c>
      <c r="DC95" s="267">
        <f>INDEX($AA$93:$AN$106,MATCH($CW95,$L$93:$L$106,0),MATCH(DC$94,$AA$94:$AN$94,0))/INDEX(고양시_재차인원!$K$4:$O$20,MATCH("경기도",고양시_재차인원!$K$4:$K$20,0),MATCH('A.일산테크노밸리(859991)_수정'!DC$94,고양시_재차인원!$K$4:$O$4,0))</f>
        <v>0</v>
      </c>
      <c r="DD95" s="267">
        <f>INDEX($AA$93:$AN$106,MATCH($CW95,$L$93:$L$106,0),MATCH(DD$94,$AA$94:$AN$94,0))/INDEX(고양시_재차인원!$K$4:$O$20,MATCH("경기도",고양시_재차인원!$K$4:$K$20,0),MATCH('A.일산테크노밸리(859991)_수정'!DD$94,고양시_재차인원!$K$4:$O$4,0))</f>
        <v>0.1635314422566507</v>
      </c>
      <c r="DE95" s="267">
        <f>INDEX($AA$93:$AN$106,MATCH($CW95,$L$93:$L$106,0),MATCH(DE$94,$AA$94:$AN$94,0))/INDEX(고양시_재차인원!$K$4:$O$20,MATCH("경기도",고양시_재차인원!$K$4:$K$20,0),MATCH('A.일산테크노밸리(859991)_수정'!DE$94,고양시_재차인원!$K$4:$O$4,0))</f>
        <v>4.166912725721966</v>
      </c>
      <c r="DF95" s="267">
        <f>INDEX($AO$93:$BB$106,MATCH($CW95,$L$93:$L$106,0),MATCH(DF$94,$AO$94:$BB$94,0))/INDEX(고양시_재차인원!$D$4:$H$35,MATCH("고양시",고양시_재차인원!$B$4:$B$35,0),MATCH('A.일산테크노밸리(859991)_수정'!$DF$93,고양시_재차인원!$D$4:$H$4,0))</f>
        <v>4.3749380558482063</v>
      </c>
      <c r="DG95" s="267">
        <f>INDEX($AO$93:$BB$106,MATCH($CW95,$L$93:$L$106,0),MATCH(DG$94,$AO$94:$BB$94,0))/INDEX(고양시_재차인원!$K$4:$O$20,MATCH("경기도",고양시_재차인원!$K$4:$K$20,0),MATCH('A.일산테크노밸리(859991)_수정'!DG$94,고양시_재차인원!$K$4:$O$4,0))</f>
        <v>1.8870620251631428E-4</v>
      </c>
      <c r="DH95" s="267">
        <f>INDEX($AO$93:$BB$106,MATCH($CW95,$L$93:$L$106,0),MATCH(DH$94,$AO$94:$BB$94,0))/INDEX(고양시_재차인원!$K$4:$O$20,MATCH("경기도",고양시_재차인원!$K$4:$K$20,0),MATCH('A.일산테크노밸리(859991)_수정'!DH$94,고양시_재차인원!$K$4:$O$4,0))</f>
        <v>7.4673740138598644E-3</v>
      </c>
      <c r="DI95" s="267">
        <f>INDEX($AO$93:$BB$106,MATCH($CW95,$L$93:$L$106,0),MATCH(DI$94,$AO$94:$BB$94,0))/INDEX(고양시_재차인원!$K$4:$O$20,MATCH("경기도",고양시_재차인원!$K$4:$K$20,0),MATCH('A.일산테크노밸리(859991)_수정'!DI$94,고양시_재차인원!$K$4:$O$4,0))</f>
        <v>0.13194068099651385</v>
      </c>
      <c r="DJ95" s="268">
        <f>INDEX($BC$93:$BP$106,MATCH($CW95,$L$93:$L$106,0),MATCH(DJ$94,$BC$94:$BP$94,0))/INDEX(고양시_재차인원!$D$4:$H$35,MATCH("고양시",고양시_재차인원!$B$4:$B$35,0),MATCH('A.일산테크노밸리(859991)_수정'!$DJ$93,고양시_재차인원!$D$4:$H$4,0))</f>
        <v>7.4265823743214264E-3</v>
      </c>
      <c r="DK95" s="267">
        <f>INDEX($BC$93:$BP$106,MATCH($CW95,$L$93:$L$106,0),MATCH(DK$94,$BC$94:$BP$94,0))/INDEX(고양시_재차인원!$K$4:$O$20,MATCH("경기도",고양시_재차인원!$K$4:$K$20,0),MATCH('A.일산테크노밸리(859991)_수정'!DK$94,고양시_재차인원!$K$4:$O$4,0))</f>
        <v>2.2495620789380358E-5</v>
      </c>
      <c r="DL95" s="267">
        <f>INDEX($BC$93:$BP$106,MATCH($CW95,$L$93:$L$106,0),MATCH(DL$94,$BC$94:$BP$94,0))/INDEX(고양시_재차인원!$K$4:$O$20,MATCH("경기도",고양시_재차인원!$K$4:$K$20,0),MATCH('A.일산테크노밸리(859991)_수정'!DL$94,고양시_재차인원!$K$4:$O$4,0))</f>
        <v>1.4997080526253572E-5</v>
      </c>
      <c r="DM95" s="267">
        <f>INDEX($BC$93:$BP$106,MATCH($CW95,$L$93:$L$106,0),MATCH(DM$94,$BC$94:$BP$94,0))/INDEX(고양시_재차인원!$K$4:$O$20,MATCH("경기도",고양시_재차인원!$K$4:$K$20,0),MATCH('A.일산테크노밸리(859991)_수정'!DM$94,고양시_재차인원!$K$4:$O$4,0))</f>
        <v>6.1797009556805777E-5</v>
      </c>
      <c r="DN95" s="268">
        <f>INDEX($BQ$93:$CD$106,MATCH($CW95,$L$93:$L$106,0),MATCH(DN$94,$BQ$94:$CD$94,0))/INDEX(고양시_재차인원!$D$4:$H$35,MATCH("고양시",고양시_재차인원!$B$4:$B$35,0),MATCH('A.일산테크노밸리(859991)_수정'!$DN$93,고양시_재차인원!$D$4:$H$4,0))</f>
        <v>2.2409375061228684E-2</v>
      </c>
      <c r="DO95" s="267">
        <f>INDEX($BQ$93:$CD$106,MATCH($CW95,$L$93:$L$106,0),MATCH(DO$94,$BQ$94:$CD$94,0))/INDEX(고양시_재차인원!$K$4:$O$20,MATCH("경기도",고양시_재차인원!$K$4:$K$20,0),MATCH('A.일산테크노밸리(859991)_수정'!DO$94,고양시_재차인원!$K$4:$O$4,0))</f>
        <v>8.9464693183293923E-5</v>
      </c>
      <c r="DP95" s="267">
        <f>INDEX($BQ$93:$CD$106,MATCH($CW95,$L$93:$L$106,0),MATCH(DP$94,$BQ$94:$CD$94,0))/INDEX(고양시_재차인원!$K$4:$O$20,MATCH("경기도",고양시_재차인원!$K$4:$K$20,0),MATCH('A.일산테크노밸리(859991)_수정'!DP$94,고양시_재차인원!$K$4:$O$4,0))</f>
        <v>2.9880247258177062E-4</v>
      </c>
      <c r="DQ95" s="267">
        <f>INDEX($BQ$93:$CD$106,MATCH($CW95,$L$93:$L$106,0),MATCH(DQ$94,$BQ$94:$CD$94,0))/INDEX(고양시_재차인원!$K$4:$O$20,MATCH("경기도",고양시_재차인원!$K$4:$K$20,0),MATCH('A.일산테크노밸리(859991)_수정'!DQ$94,고양시_재차인원!$K$4:$O$4,0))</f>
        <v>2.1502468237601932E-5</v>
      </c>
      <c r="DR95" s="269">
        <f>CX95+DB95+DF95+DJ95+DN95</f>
        <v>43.025551396323301</v>
      </c>
      <c r="DS95" s="270">
        <f t="shared" ref="DS95:DS106" si="52">CY95+DC95+DG95+DK95+DO95</f>
        <v>3.6559737925708033E-4</v>
      </c>
      <c r="DT95" s="270">
        <f t="shared" ref="DT95:DT106" si="53">CZ95+DD95+DH95+DL95+DP95</f>
        <v>0.18936339567314808</v>
      </c>
      <c r="DU95" s="270">
        <f t="shared" ref="DU95:DU106" si="54">DA95+DE95+DI95+DM95+DQ95</f>
        <v>4.6753010934004049</v>
      </c>
      <c r="DW95" s="278"/>
      <c r="DX95" s="278" t="s">
        <v>589</v>
      </c>
      <c r="DY95" s="281">
        <f>DR95+DU95</f>
        <v>47.700852489723708</v>
      </c>
      <c r="DZ95" s="281">
        <f>DS95+DT95</f>
        <v>0.18972899305240518</v>
      </c>
      <c r="EC95" s="412" t="s">
        <v>13</v>
      </c>
      <c r="ED95" s="412" t="s">
        <v>568</v>
      </c>
      <c r="EE95" s="412">
        <v>907.24059999999997</v>
      </c>
      <c r="EF95" s="412">
        <v>0.22444210067316503</v>
      </c>
      <c r="EG95" s="413">
        <v>859002</v>
      </c>
      <c r="EH95" s="414">
        <f t="shared" ref="EH95:EH138" si="55">VLOOKUP($EM95,$DX$94:$DZ$103,2,FALSE)*$EF95*$BB$11*(1-$BD$7)</f>
        <v>8.4431292073294291</v>
      </c>
      <c r="EI95" s="415">
        <f t="shared" ref="EI95:EI138" si="56">VLOOKUP($EM95,$DX$94:$DZ$103,3,FALSE)*$EF95*$BB$11*(1-$BD$7)</f>
        <v>3.3582343272860082E-2</v>
      </c>
      <c r="EJ95" s="402">
        <v>0</v>
      </c>
      <c r="EM95" s="278" t="s">
        <v>13</v>
      </c>
      <c r="EN95" s="278" t="s">
        <v>568</v>
      </c>
      <c r="EO95" s="278">
        <v>907.24059999999997</v>
      </c>
      <c r="EP95" s="278">
        <v>0.22444210067316503</v>
      </c>
      <c r="EQ95" s="289">
        <v>859002</v>
      </c>
      <c r="ER95" s="290">
        <f t="shared" si="37"/>
        <v>8.4431292073294291</v>
      </c>
      <c r="ES95" s="291">
        <f t="shared" si="38"/>
        <v>3.3582343272860082E-2</v>
      </c>
      <c r="ET95" s="402">
        <v>0</v>
      </c>
      <c r="EV95" s="34"/>
      <c r="EW95" s="34"/>
      <c r="EX95" s="34"/>
      <c r="EY95" s="34"/>
      <c r="EZ95" s="378"/>
      <c r="FA95" s="401"/>
      <c r="FB95" s="402"/>
      <c r="FC95" s="402"/>
    </row>
    <row r="96" spans="1:159" ht="25">
      <c r="A96" s="205"/>
      <c r="B96" s="205" t="s">
        <v>13</v>
      </c>
      <c r="C96" s="400">
        <f>'A.일산테크노밸리(859991)_수정'!$P29*KTDB_TripDistribution_2040!T$12 * (1+KTDB_발생량도착량_증가율!$D$8 *5) * (1+KTDB_발생량도착량_증가율!$E$8 *5) * (1+KTDB_발생량도착량_증가율!$F$8 *5)</f>
        <v>15.174800964404946</v>
      </c>
      <c r="D96" s="400">
        <f>'A.일산테크노밸리(859991)_수정'!$P29*KTDB_TripDistribution_2040!U$12 * (1+KTDB_발생량도착량_증가율!$D$8 *5) * (1+KTDB_발생량도착량_증가율!$E$8 *5) * (1+KTDB_발생량도착량_증가율!$F$8 *5)</f>
        <v>109.8231390660105</v>
      </c>
      <c r="E96" s="400">
        <f>'A.일산테크노밸리(859991)_수정'!$P29*KTDB_TripDistribution_2040!V$12 * (1+KTDB_발생량도착량_증가율!$D$8 *5) * (1+KTDB_발생량도착량_증가율!$E$8 *5) * (1+KTDB_발생량도착량_증가율!$F$8 *5)</f>
        <v>6.3002816531207317</v>
      </c>
      <c r="F96" s="400">
        <f>'A.일산테크노밸리(859991)_수정'!$P29*KTDB_TripDistribution_2040!W$12 * (1+KTDB_발생량도착량_증가율!$D$8 *5) * (1+KTDB_발생량도착량_증가율!$E$8 *5) * (1+KTDB_발생량도착량_증가율!$F$8 *5)</f>
        <v>9.9009140698597467E-3</v>
      </c>
      <c r="G96" s="400">
        <f>'A.일산테크노밸리(859991)_수정'!$P29*KTDB_TripDistribution_2040!X$12 * (1+KTDB_발생량도착량_증가율!$D$8 *5) * (1+KTDB_발생량도착량_증가율!$E$8 *5) * (1+KTDB_발생량도착량_증가율!$F$8 *5)</f>
        <v>3.740345315280337E-2</v>
      </c>
      <c r="H96" s="400">
        <f>'A.일산테크노밸리(859991)_수정'!$P29*KTDB_TripDistribution_2040!Y$12 * (1+KTDB_발생량도착량_증가율!$D$8 *5) * (1+KTDB_발생량도착량_증가율!$E$8 *5) * (1+KTDB_발생량도착량_증가율!$F$8 *5)</f>
        <v>131.34552605075885</v>
      </c>
      <c r="J96" s="230">
        <f t="shared" ref="J96:J106" si="57">CR96</f>
        <v>131.34552605075882</v>
      </c>
      <c r="K96" s="206"/>
      <c r="L96" s="209" t="s">
        <v>13</v>
      </c>
      <c r="M96" s="213">
        <f>INDEX($A$94:$H$106,MATCH($L96,$B$94:$B$106,0),MATCH($M$93,$A$94:$H$94,0))*고양시_Modal_split!C$3 * 0.01</f>
        <v>4.2489442700333849E-2</v>
      </c>
      <c r="N96" s="213">
        <f>INDEX($A$94:$H$106,MATCH($L96,$B$94:$B$106,0),MATCH($M$93,$A$94:$H$94,0))*고양시_Modal_split!D$3 * 0.01</f>
        <v>7.1367088935596463</v>
      </c>
      <c r="O96" s="213">
        <f>INDEX($A$94:$H$106,MATCH($L96,$B$94:$B$106,0),MATCH($M$93,$A$94:$H$94,0))*고양시_Modal_split!E$3 * 0.01</f>
        <v>0.86344617487464137</v>
      </c>
      <c r="P96" s="213">
        <f>INDEX($A$94:$H$106,MATCH($L96,$B$94:$B$106,0),MATCH($M$93,$A$94:$H$94,0))*고양시_Modal_split!F$3 * 0.01</f>
        <v>1.3915292484359336</v>
      </c>
      <c r="Q96" s="213">
        <f>INDEX($A$94:$H$106,MATCH($L96,$B$94:$B$106,0),MATCH($M$93,$A$94:$H$94,0))*고양시_Modal_split!G$3 * 0.01</f>
        <v>0.1396081688725255</v>
      </c>
      <c r="R96" s="213">
        <f>INDEX($A$94:$H$106,MATCH($L96,$B$94:$B$106,0),MATCH($M$93,$A$94:$H$94,0))*고양시_Modal_split!H$3 * 0.01</f>
        <v>1.5174800964404948E-3</v>
      </c>
      <c r="S96" s="213">
        <f>INDEX($A$94:$H$106,MATCH($L96,$B$94:$B$106,0),MATCH($M$93,$A$94:$H$94,0))*고양시_Modal_split!I$3 * 0.01</f>
        <v>0.4218594668104575</v>
      </c>
      <c r="T96" s="213">
        <f>INDEX($A$94:$H$106,MATCH($L96,$B$94:$B$106,0),MATCH($M$93,$A$94:$H$94,0))*고양시_Modal_split!J$3 * 0.01</f>
        <v>4.6192094135648665</v>
      </c>
      <c r="U96" s="213">
        <f>INDEX($A$94:$H$106,MATCH($L96,$B$94:$B$106,0),MATCH($M$93,$A$94:$H$94,0))*고양시_Modal_split!K$3 * 0.01</f>
        <v>2.276220144660742E-2</v>
      </c>
      <c r="V96" s="213">
        <f>INDEX($A$94:$H$106,MATCH($L96,$B$94:$B$106,0),MATCH($M$93,$A$94:$H$94,0))*고양시_Modal_split!L$3 * 0.01</f>
        <v>0.4582789891250294</v>
      </c>
      <c r="W96" s="213">
        <f>INDEX($A$94:$H$106,MATCH($L96,$B$94:$B$106,0),MATCH($M$93,$A$94:$H$94,0))*고양시_Modal_split!M$3 * 0.01</f>
        <v>3.4902042218131375E-2</v>
      </c>
      <c r="X96" s="213">
        <f>INDEX($A$94:$H$106,MATCH($L96,$B$94:$B$106,0),MATCH($M$93,$A$94:$H$94,0))*고양시_Modal_split!N$3 * 0.01</f>
        <v>1.5174800964404947E-2</v>
      </c>
      <c r="Y96" s="213">
        <f>INDEX($A$94:$H$106,MATCH($L96,$B$94:$B$106,0),MATCH($M$93,$A$94:$H$94,0))*고양시_Modal_split!O$3 * 0.01</f>
        <v>2.7314641735928902E-2</v>
      </c>
      <c r="Z96" s="213">
        <f>INDEX($A$94:$H$106,MATCH($L96,$B$94:$B$106,0),MATCH($M$93,$A$94:$H$94,0))*고양시_Modal_split!P$3 * 0.01</f>
        <v>15.174800964404946</v>
      </c>
      <c r="AA96" s="213">
        <f>INDEX($A$94:$H$106,MATCH($L96,$B$94:$B$106,0),MATCH($AA$93,$A$94:$H$94,0))*고양시_Modal_split!C$4 * 0.01</f>
        <v>33.430163531693594</v>
      </c>
      <c r="AB96" s="213">
        <f>INDEX($A$94:$H$106,MATCH($L96,$B$94:$B$106,0),MATCH($AA$93,$A$94:$H$94,0))*고양시_Modal_split!D$4 * 0.01</f>
        <v>35.220280698469573</v>
      </c>
      <c r="AC96" s="213">
        <f>INDEX($A$94:$H$106,MATCH($L96,$B$94:$B$106,0),MATCH($AA$93,$A$94:$H$94,0))*고양시_Modal_split!E$4 * 0.01</f>
        <v>8.5332579054290161</v>
      </c>
      <c r="AD96" s="213">
        <f>INDEX($A$94:$H$106,MATCH($L96,$B$94:$B$106,0),MATCH($AA$93,$A$94:$H$94,0))*고양시_Modal_split!F$4 * 0.01</f>
        <v>1.0433198211270998</v>
      </c>
      <c r="AE96" s="213">
        <f>INDEX($A$94:$H$106,MATCH($L96,$B$94:$B$106,0),MATCH($AA$93,$A$94:$H$94,0))*고양시_Modal_split!G$4 * 0.01</f>
        <v>12.860289584629829</v>
      </c>
      <c r="AF96" s="213">
        <f>INDEX($A$94:$H$106,MATCH($L96,$B$94:$B$106,0),MATCH($AA$93,$A$94:$H$94,0))*고양시_Modal_split!H$4 * 0.01</f>
        <v>0</v>
      </c>
      <c r="AG96" s="213">
        <f>INDEX($A$94:$H$106,MATCH($L96,$B$94:$B$106,0),MATCH($AA$93,$A$94:$H$94,0))*고양시_Modal_split!I$4 * 0.01</f>
        <v>3.8218452394971649</v>
      </c>
      <c r="AH96" s="213">
        <f>INDEX($A$94:$H$106,MATCH($L96,$B$94:$B$106,0),MATCH($AA$93,$A$94:$H$94,0))*고양시_Modal_split!J$4 * 0.01</f>
        <v>5.1726698500090951</v>
      </c>
      <c r="AI96" s="213">
        <f>INDEX($A$94:$H$106,MATCH($L96,$B$94:$B$106,0),MATCH($AA$93,$A$94:$H$94,0))*고양시_Modal_split!K$4 * 0.01</f>
        <v>0</v>
      </c>
      <c r="AJ96" s="213">
        <f>INDEX($A$94:$H$106,MATCH($L96,$B$94:$B$106,0),MATCH($AA$93,$A$94:$H$94,0))*고양시_Modal_split!L$4 * 0.01</f>
        <v>5.0738290248496849</v>
      </c>
      <c r="AK96" s="213">
        <f>INDEX($A$94:$H$106,MATCH($L96,$B$94:$B$106,0),MATCH($AA$93,$A$94:$H$94,0))*고양시_Modal_split!M$4 * 0.01</f>
        <v>0.73581503174227036</v>
      </c>
      <c r="AL96" s="213">
        <f>INDEX($A$94:$H$106,MATCH($L96,$B$94:$B$106,0),MATCH($AA$93,$A$94:$H$94,0))*고양시_Modal_split!N$4 * 0.01</f>
        <v>2.7455784766502624</v>
      </c>
      <c r="AM96" s="213">
        <f>INDEX($A$94:$H$106,MATCH($L96,$B$94:$B$106,0),MATCH($AA$93,$A$94:$H$94,0))*고양시_Modal_split!O$4 * 0.01</f>
        <v>1.1860899019129134</v>
      </c>
      <c r="AN96" s="213">
        <f>INDEX($A$94:$H$106,MATCH($L96,$B$94:$B$106,0),MATCH($AA$93,$A$94:$H$94,0))*고양시_Modal_split!P$4 * 0.01</f>
        <v>109.8231390660105</v>
      </c>
      <c r="AO96" s="213">
        <f>INDEX($A$94:$H$106,MATCH($L96,$B$94:$B$106,0),MATCH($AO$93,$A$94:$H$94,0))*고양시_Modal_split!C$5 * 0.01</f>
        <v>3.7801689918724392E-3</v>
      </c>
      <c r="AP96" s="213">
        <f>INDEX($A$94:$H$106,MATCH($L96,$B$94:$B$106,0),MATCH($AO$93,$A$94:$H$94,0))*고양시_Modal_split!D$5 * 0.01</f>
        <v>4.6168463954068724</v>
      </c>
      <c r="AQ96" s="213">
        <f>INDEX($A$94:$H$106,MATCH($L96,$B$94:$B$106,0),MATCH($AO$93,$A$94:$H$94,0))*고양시_Modal_split!E$5 * 0.01</f>
        <v>0.62057774283239209</v>
      </c>
      <c r="AR96" s="213">
        <f>INDEX($A$94:$H$106,MATCH($L96,$B$94:$B$106,0),MATCH($AO$93,$A$94:$H$94,0))*고양시_Modal_split!F$5 * 0.01</f>
        <v>0.13230591471553538</v>
      </c>
      <c r="AS96" s="213">
        <f>INDEX($A$94:$H$106,MATCH($L96,$B$94:$B$106,0),MATCH($AO$93,$A$94:$H$94,0))*고양시_Modal_split!G$5 * 0.01</f>
        <v>4.0951830745284752E-2</v>
      </c>
      <c r="AT96" s="213">
        <f>INDEX($A$94:$H$106,MATCH($L96,$B$94:$B$106,0),MATCH($AO$93,$A$94:$H$94,0))*고양시_Modal_split!H$5 * 0.01</f>
        <v>4.4101971571845122E-3</v>
      </c>
      <c r="AU96" s="213">
        <f>INDEX($A$94:$H$106,MATCH($L96,$B$94:$B$106,0),MATCH($AO$93,$A$94:$H$94,0))*고양시_Modal_split!I$5 * 0.01</f>
        <v>0.1745178017914443</v>
      </c>
      <c r="AV96" s="213">
        <f>INDEX($A$94:$H$106,MATCH($L96,$B$94:$B$106,0),MATCH($AO$93,$A$94:$H$94,0))*고양시_Modal_split!J$5 * 0.01</f>
        <v>0.39502765965066994</v>
      </c>
      <c r="AW96" s="213">
        <f>INDEX($A$94:$H$106,MATCH($L96,$B$94:$B$106,0),MATCH($AO$93,$A$94:$H$94,0))*고양시_Modal_split!K$5 * 0.01</f>
        <v>1.2600563306241464E-3</v>
      </c>
      <c r="AX96" s="213">
        <f>INDEX($A$94:$H$106,MATCH($L96,$B$94:$B$106,0),MATCH($AO$93,$A$94:$H$94,0))*고양시_Modal_split!L$5 * 0.01</f>
        <v>0.16065718215457864</v>
      </c>
      <c r="AY96" s="213">
        <f>INDEX($A$94:$H$106,MATCH($L96,$B$94:$B$106,0),MATCH($AO$93,$A$94:$H$94,0))*고양시_Modal_split!M$5 * 0.01</f>
        <v>4.2211887075908908E-2</v>
      </c>
      <c r="AZ96" s="213">
        <f>INDEX($A$94:$H$106,MATCH($L96,$B$94:$B$106,0),MATCH($AO$93,$A$94:$H$94,0))*고양시_Modal_split!N$5 * 0.01</f>
        <v>1.0710478810305244E-2</v>
      </c>
      <c r="BA96" s="213">
        <f>INDEX($A$94:$H$106,MATCH($L96,$B$94:$B$106,0),MATCH($AO$93,$A$94:$H$94,0))*고양시_Modal_split!O$5 * 0.01</f>
        <v>9.7024337458059273E-2</v>
      </c>
      <c r="BB96" s="213">
        <f>INDEX($A$94:$H$106,MATCH($L96,$B$94:$B$106,0),MATCH($AO$93,$A$94:$H$94,0))*고양시_Modal_split!P$5 * 0.01</f>
        <v>6.3002816531207309</v>
      </c>
      <c r="BC96" s="213">
        <f>INDEX($A$94:$H$106,MATCH($L96,$B$94:$B$106,0),MATCH($BC$93,$A$94:$H$94,0))*고양시_Modal_split!C$6 * 0.01</f>
        <v>0</v>
      </c>
      <c r="BD96" s="207">
        <f>INDEX($A$94:$H$106,MATCH($L96,$B$94:$B$106,0),MATCH($BC$93,$A$94:$H$94,0))*고양시_Modal_split!D$6 * 0.01</f>
        <v>8.1989469412508554E-3</v>
      </c>
      <c r="BE96" s="207">
        <f>INDEX($A$94:$H$106,MATCH($L96,$B$94:$B$106,0),MATCH($BC$93,$A$94:$H$94,0))*고양시_Modal_split!E$6 * 0.01</f>
        <v>4.2573930500396909E-5</v>
      </c>
      <c r="BF96" s="207">
        <f>INDEX($A$94:$H$106,MATCH($L96,$B$94:$B$106,0),MATCH($BC$93,$A$94:$H$94,0))*고양시_Modal_split!F$6 * 0.01</f>
        <v>1.2079115165228891E-4</v>
      </c>
      <c r="BG96" s="207">
        <f>INDEX($A$94:$H$106,MATCH($L96,$B$94:$B$106,0),MATCH($BC$93,$A$94:$H$94,0))*고양시_Modal_split!G$6 * 0.01</f>
        <v>0</v>
      </c>
      <c r="BH96" s="207">
        <f>INDEX($A$94:$H$106,MATCH($L96,$B$94:$B$106,0),MATCH($BC$93,$A$94:$H$94,0))*고양시_Modal_split!H$6 * 0.01</f>
        <v>5.2573853710955257E-4</v>
      </c>
      <c r="BI96" s="207">
        <f>INDEX($A$94:$H$106,MATCH($L96,$B$94:$B$106,0),MATCH($BC$93,$A$94:$H$94,0))*고양시_Modal_split!I$6 * 0.01</f>
        <v>3.5049235807303508E-4</v>
      </c>
      <c r="BJ96" s="207">
        <f>INDEX($A$94:$H$106,MATCH($L96,$B$94:$B$106,0),MATCH($BC$93,$A$94:$H$94,0))*고양시_Modal_split!J$6 * 0.01</f>
        <v>4.8910515505107147E-4</v>
      </c>
      <c r="BK96" s="207">
        <f>INDEX($A$94:$H$106,MATCH($L96,$B$94:$B$106,0),MATCH($BC$93,$A$94:$H$94,0))*고양시_Modal_split!K$6 * 0.01</f>
        <v>0</v>
      </c>
      <c r="BL96" s="207">
        <f>INDEX($A$94:$H$106,MATCH($L96,$B$94:$B$106,0),MATCH($BC$93,$A$94:$H$94,0))*고양시_Modal_split!L$6 * 0.01</f>
        <v>7.5246946930934073E-5</v>
      </c>
      <c r="BM96" s="207">
        <f>INDEX($A$94:$H$106,MATCH($L96,$B$94:$B$106,0),MATCH($BC$93,$A$94:$H$94,0))*고양시_Modal_split!M$6 * 0.01</f>
        <v>9.0098318035723696E-5</v>
      </c>
      <c r="BN96" s="207">
        <f>INDEX($A$94:$H$106,MATCH($L96,$B$94:$B$106,0),MATCH($BC$93,$A$94:$H$94,0))*고양시_Modal_split!N$6 * 0.01</f>
        <v>0</v>
      </c>
      <c r="BO96" s="207">
        <f>INDEX($A$94:$H$106,MATCH($L96,$B$94:$B$106,0),MATCH($BC$93,$A$94:$H$94,0))*고양시_Modal_split!O$6 * 0.01</f>
        <v>7.9207312558877979E-6</v>
      </c>
      <c r="BP96" s="214">
        <f>INDEX($A$94:$H$106,MATCH($L96,$B$94:$B$106,0),MATCH($BC$93,$A$94:$H$94,0))*고양시_Modal_split!P$6 * 0.01</f>
        <v>9.9009140698597467E-3</v>
      </c>
      <c r="BQ96" s="213">
        <f>INDEX($A$94:$H$106,MATCH($L96,$B$94:$B$106,0),MATCH($BQ$93,$A$94:$H$94,0))*고양시_Modal_split!C$7 * 0.01</f>
        <v>0</v>
      </c>
      <c r="BR96" s="213">
        <f>INDEX($A$94:$H$106,MATCH($L96,$B$94:$B$106,0),MATCH($BQ$93,$A$94:$H$94,0))*고양시_Modal_split!D$7 * 0.01</f>
        <v>2.2920836092037905E-2</v>
      </c>
      <c r="BS96" s="213">
        <f>INDEX($A$94:$H$106,MATCH($L96,$B$94:$B$106,0),MATCH($BQ$93,$A$94:$H$94,0))*고양시_Modal_split!E$7 * 0.01</f>
        <v>1.1183632492688207E-3</v>
      </c>
      <c r="BT96" s="213">
        <f>INDEX($A$94:$H$106,MATCH($L96,$B$94:$B$106,0),MATCH($BQ$93,$A$94:$H$94,0))*고양시_Modal_split!F$7 * 0.01</f>
        <v>3.7403453152803369E-4</v>
      </c>
      <c r="BU96" s="213">
        <f>INDEX($A$94:$H$106,MATCH($L96,$B$94:$B$106,0),MATCH($BQ$93,$A$94:$H$94,0))*고양시_Modal_split!G$7 * 0.01</f>
        <v>1.5709450324177414E-4</v>
      </c>
      <c r="BV96" s="213">
        <f>INDEX($A$94:$H$106,MATCH($L96,$B$94:$B$106,0),MATCH($BQ$93,$A$94:$H$94,0))*고양시_Modal_split!H$7 * 0.01</f>
        <v>2.0908530312417086E-3</v>
      </c>
      <c r="BW96" s="213">
        <f>INDEX($A$94:$H$106,MATCH($L96,$B$94:$B$106,0),MATCH($BQ$93,$A$94:$H$94,0))*고양시_Modal_split!I$7 * 0.01</f>
        <v>6.9832247036283905E-3</v>
      </c>
      <c r="BX96" s="213">
        <f>INDEX($A$94:$H$106,MATCH($L96,$B$94:$B$106,0),MATCH($BQ$93,$A$94:$H$94,0))*고양시_Modal_split!J$7 * 0.01</f>
        <v>7.4806906305606743E-6</v>
      </c>
      <c r="BY96" s="213">
        <f>INDEX($A$94:$H$106,MATCH($L96,$B$94:$B$106,0),MATCH($BQ$93,$A$94:$H$94,0))*고양시_Modal_split!K$7 * 0.01</f>
        <v>2.8800658927658597E-3</v>
      </c>
      <c r="BZ96" s="213">
        <f>INDEX($A$94:$H$106,MATCH($L96,$B$94:$B$106,0),MATCH($BQ$93,$A$94:$H$94,0))*고양시_Modal_split!L$7 * 0.01</f>
        <v>2.6182417206962358E-5</v>
      </c>
      <c r="CA96" s="213">
        <f>INDEX($A$94:$H$106,MATCH($L96,$B$94:$B$106,0),MATCH($BQ$93,$A$94:$H$94,0))*고양시_Modal_split!M$7 * 0.01</f>
        <v>6.9944457395742306E-4</v>
      </c>
      <c r="CB96" s="213">
        <f>INDEX($A$94:$H$106,MATCH($L96,$B$94:$B$106,0),MATCH($BQ$93,$A$94:$H$94,0))*고양시_Modal_split!N$7 * 0.01</f>
        <v>1.4587346729593313E-4</v>
      </c>
      <c r="CC96" s="213">
        <f>INDEX($A$94:$H$106,MATCH($L96,$B$94:$B$106,0),MATCH($BQ$93,$A$94:$H$94,0))*고양시_Modal_split!O$7 * 0.01</f>
        <v>0</v>
      </c>
      <c r="CD96" s="213">
        <f>INDEX($A$94:$H$106,MATCH($L96,$B$94:$B$106,0),MATCH($BQ$93,$A$94:$H$94,0))*고양시_Modal_split!P$7 * 0.01</f>
        <v>3.740345315280337E-2</v>
      </c>
      <c r="CE96" s="218">
        <f t="shared" ref="CE96:CE106" si="58">M96+AA96+AO96+BC96+BQ96</f>
        <v>33.476433143385805</v>
      </c>
      <c r="CF96" s="208">
        <f t="shared" si="39"/>
        <v>47.004955770469387</v>
      </c>
      <c r="CG96" s="208">
        <f t="shared" si="40"/>
        <v>10.018442760315818</v>
      </c>
      <c r="CH96" s="208">
        <f t="shared" si="41"/>
        <v>2.5676498099617491</v>
      </c>
      <c r="CI96" s="208">
        <f t="shared" si="42"/>
        <v>13.041006678750882</v>
      </c>
      <c r="CJ96" s="208">
        <f t="shared" si="43"/>
        <v>8.544268821976269E-3</v>
      </c>
      <c r="CK96" s="208">
        <f t="shared" si="44"/>
        <v>4.4255562251607676</v>
      </c>
      <c r="CL96" s="208">
        <f t="shared" si="45"/>
        <v>10.187403509070313</v>
      </c>
      <c r="CM96" s="208">
        <f t="shared" si="46"/>
        <v>2.6902323669997424E-2</v>
      </c>
      <c r="CN96" s="208">
        <f t="shared" si="47"/>
        <v>5.6928666254934308</v>
      </c>
      <c r="CO96" s="208">
        <f t="shared" si="48"/>
        <v>0.81371850392830392</v>
      </c>
      <c r="CP96" s="208">
        <f t="shared" si="49"/>
        <v>2.7716096298922688</v>
      </c>
      <c r="CQ96" s="208">
        <f t="shared" si="50"/>
        <v>1.3104368018381576</v>
      </c>
      <c r="CR96" s="219">
        <f t="shared" si="51"/>
        <v>131.34552605075882</v>
      </c>
      <c r="CS96" s="225">
        <f t="shared" ref="CS96:CS106" si="59">H96-CR96</f>
        <v>0</v>
      </c>
      <c r="CV96" s="265"/>
      <c r="CW96" s="266" t="s">
        <v>13</v>
      </c>
      <c r="CX96" s="267">
        <f>INDEX($M$93:$Z$106,MATCH($CW96,$L$93:$L$106,0),MATCH(CX$94,$M$94:$Z$94,0))/INDEX(고양시_재차인원!$D$4:$H$35,MATCH("고양시",고양시_재차인원!$B$4:$B$35,0),MATCH('A.일산테크노밸리(859991)_수정'!$CX$93,고양시_재차인원!$D$4:$H$4,0))</f>
        <v>6.3720615121068267</v>
      </c>
      <c r="CY96" s="267">
        <f>INDEX($M$93:$Z$106,MATCH($CW96,$L$93:$L$106,0),MATCH(CY$94,$M$94:$Z$94,0))/INDEX(고양시_재차인원!$K$4:$O$20,MATCH("경기도",고양시_재차인원!$K$4:$K$20,0),MATCH('A.일산테크노밸리(859991)_수정'!CY$94,고양시_재차인원!$K$4:$O$4,0))</f>
        <v>5.2708582717627471E-5</v>
      </c>
      <c r="CZ96" s="267">
        <f>INDEX($M$93:$Z$106,MATCH($CW96,$L$93:$L$106,0),MATCH(CZ$94,$M$94:$Z$94,0))/INDEX(고양시_재차인원!$K$4:$O$20,MATCH("경기도",고양시_재차인원!$K$4:$K$20,0),MATCH('A.일산테크노밸리(859991)_수정'!CZ$94,고양시_재차인원!$K$4:$O$4,0))</f>
        <v>1.4652985995500434E-2</v>
      </c>
      <c r="DA96" s="267">
        <f>INDEX($M$93:$Z$106,MATCH($CW96,$L$93:$L$106,0),MATCH(DA$94,$M$94:$Z$94,0))/INDEX(고양시_재차인원!$K$4:$O$20,MATCH("경기도",고양시_재차인원!$K$4:$K$20,0),MATCH('A.일산테크노밸리(859991)_수정'!DA$94,고양시_재차인원!$K$4:$O$4,0))</f>
        <v>0.30551932608335292</v>
      </c>
      <c r="DB96" s="268">
        <f>INDEX($AA$93:$AN$106,MATCH($CW96,$L$93:$L$106,0),MATCH(DB$94,$AA$94:$AN$94,0))/INDEX(고양시_재차인원!$D$4:$H$35,MATCH("고양시",고양시_재차인원!$B$4:$B$35,0),MATCH('A.일산테크노밸리(859991)_수정'!$DB$93,고양시_재차인원!$D$4:$H$4,0))</f>
        <v>24.978922481184096</v>
      </c>
      <c r="DC96" s="267">
        <f>INDEX($AA$93:$AN$106,MATCH($CW96,$L$93:$L$106,0),MATCH(DC$94,$AA$94:$AN$94,0))/INDEX(고양시_재차인원!$K$4:$O$20,MATCH("경기도",고양시_재차인원!$K$4:$K$20,0),MATCH('A.일산테크노밸리(859991)_수정'!DC$94,고양시_재차인원!$K$4:$O$4,0))</f>
        <v>0</v>
      </c>
      <c r="DD96" s="267">
        <f>INDEX($AA$93:$AN$106,MATCH($CW96,$L$93:$L$106,0),MATCH(DD$94,$AA$94:$AN$94,0))/INDEX(고양시_재차인원!$K$4:$O$20,MATCH("경기도",고양시_재차인원!$K$4:$K$20,0),MATCH('A.일산테크노밸리(859991)_수정'!DD$94,고양시_재차인원!$K$4:$O$4,0))</f>
        <v>0.13274905312598698</v>
      </c>
      <c r="DE96" s="267">
        <f>INDEX($AA$93:$AN$106,MATCH($CW96,$L$93:$L$106,0),MATCH(DE$94,$AA$94:$AN$94,0))/INDEX(고양시_재차인원!$K$4:$O$20,MATCH("경기도",고양시_재차인원!$K$4:$K$20,0),MATCH('A.일산테크노밸리(859991)_수정'!DE$94,고양시_재차인원!$K$4:$O$4,0))</f>
        <v>3.3825526832331234</v>
      </c>
      <c r="DF96" s="268">
        <f>INDEX($AO$93:$BB$106,MATCH($CW96,$L$93:$L$106,0),MATCH(DF$94,$AO$94:$BB$94,0))/INDEX(고양시_재차인원!$D$4:$H$35,MATCH("고양시",고양시_재차인원!$B$4:$B$35,0),MATCH('A.일산테크노밸리(859991)_수정'!$DF$93,고양시_재차인원!$D$4:$H$4,0))</f>
        <v>3.5514203041591323</v>
      </c>
      <c r="DG96" s="267">
        <f>INDEX($AO$93:$BB$106,MATCH($CW96,$L$93:$L$106,0),MATCH(DG$94,$AO$94:$BB$94,0))/INDEX(고양시_재차인원!$K$4:$O$20,MATCH("경기도",고양시_재차인원!$K$4:$K$20,0),MATCH('A.일산테크노밸리(859991)_수정'!DG$94,고양시_재차인원!$K$4:$O$4,0))</f>
        <v>1.5318503498383163E-4</v>
      </c>
      <c r="DH96" s="267">
        <f>INDEX($AO$93:$BB$106,MATCH($CW96,$L$93:$L$106,0),MATCH(DH$94,$AO$94:$BB$94,0))/INDEX(고양시_재차인원!$K$4:$O$20,MATCH("경기도",고양시_재차인원!$K$4:$K$20,0),MATCH('A.일산테크노밸리(859991)_수정'!DH$94,고양시_재차인원!$K$4:$O$4,0))</f>
        <v>6.0617506700744806E-3</v>
      </c>
      <c r="DI96" s="267">
        <f>INDEX($AO$93:$BB$106,MATCH($CW96,$L$93:$L$106,0),MATCH(DI$94,$AO$94:$BB$94,0))/INDEX(고양시_재차인원!$K$4:$O$20,MATCH("경기도",고양시_재차인원!$K$4:$K$20,0),MATCH('A.일산테크노밸리(859991)_수정'!DI$94,고양시_재차인원!$K$4:$O$4,0))</f>
        <v>0.10710478810305242</v>
      </c>
      <c r="DJ96" s="268">
        <f>INDEX($BC$93:$BP$106,MATCH($CW96,$L$93:$L$106,0),MATCH(DJ$94,$BC$94:$BP$94,0))/INDEX(고양시_재차인원!$D$4:$H$35,MATCH("고양시",고양시_재차인원!$B$4:$B$35,0),MATCH('A.일산테크노밸리(859991)_수정'!$DJ$93,고양시_재차인원!$D$4:$H$4,0))</f>
        <v>6.0286374568020995E-3</v>
      </c>
      <c r="DK96" s="267">
        <f>INDEX($BC$93:$BP$106,MATCH($CW96,$L$93:$L$106,0),MATCH(DK$94,$BC$94:$BP$94,0))/INDEX(고양시_재차인원!$K$4:$O$20,MATCH("경기도",고양시_재차인원!$K$4:$K$20,0),MATCH('A.일산테크노밸리(859991)_수정'!DK$94,고양시_재차인원!$K$4:$O$4,0))</f>
        <v>1.8261150993732288E-5</v>
      </c>
      <c r="DL96" s="267">
        <f>INDEX($BC$93:$BP$106,MATCH($CW96,$L$93:$L$106,0),MATCH(DL$94,$BC$94:$BP$94,0))/INDEX(고양시_재차인원!$K$4:$O$20,MATCH("경기도",고양시_재차인원!$K$4:$K$20,0),MATCH('A.일산테크노밸리(859991)_수정'!DL$94,고양시_재차인원!$K$4:$O$4,0))</f>
        <v>1.2174100662488194E-5</v>
      </c>
      <c r="DM96" s="267">
        <f>INDEX($BC$93:$BP$106,MATCH($CW96,$L$93:$L$106,0),MATCH(DM$94,$BC$94:$BP$94,0))/INDEX(고양시_재차인원!$K$4:$O$20,MATCH("경기도",고양시_재차인원!$K$4:$K$20,0),MATCH('A.일산테크노밸리(859991)_수정'!DM$94,고양시_재차인원!$K$4:$O$4,0))</f>
        <v>5.016463128728938E-5</v>
      </c>
      <c r="DN96" s="268">
        <f>INDEX($BQ$93:$CD$106,MATCH($CW96,$L$93:$L$106,0),MATCH(DN$94,$BQ$94:$CD$94,0))/INDEX(고양시_재차인원!$D$4:$H$35,MATCH("고양시",고양시_재차인원!$B$4:$B$35,0),MATCH('A.일산테크노밸리(859991)_수정'!$DN$93,고양시_재차인원!$D$4:$H$4,0))</f>
        <v>1.8191139755585638E-2</v>
      </c>
      <c r="DO96" s="267">
        <f>INDEX($BQ$93:$CD$106,MATCH($CW96,$L$93:$L$106,0),MATCH(DO$94,$BQ$94:$CD$94,0))/INDEX(고양시_재차인원!$K$4:$O$20,MATCH("경기도",고양시_재차인원!$K$4:$K$20,0),MATCH('A.일산테크노밸리(859991)_수정'!DO$94,고양시_재차인원!$K$4:$O$4,0))</f>
        <v>7.2624280348791546E-5</v>
      </c>
      <c r="DP96" s="267">
        <f>INDEX($BQ$93:$CD$106,MATCH($CW96,$L$93:$L$106,0),MATCH(DP$94,$BQ$94:$CD$94,0))/INDEX(고양시_재차인원!$K$4:$O$20,MATCH("경기도",고양시_재차인원!$K$4:$K$20,0),MATCH('A.일산테크노밸리(859991)_수정'!DP$94,고양시_재차인원!$K$4:$O$4,0))</f>
        <v>2.4255730127226087E-4</v>
      </c>
      <c r="DQ96" s="267">
        <f>INDEX($BQ$93:$CD$106,MATCH($CW96,$L$93:$L$106,0),MATCH(DQ$94,$BQ$94:$CD$94,0))/INDEX(고양시_재차인원!$K$4:$O$20,MATCH("경기도",고양시_재차인원!$K$4:$K$20,0),MATCH('A.일산테크노밸리(859991)_수정'!DQ$94,고양시_재차인원!$K$4:$O$4,0))</f>
        <v>1.7454944804641572E-5</v>
      </c>
      <c r="DR96" s="269">
        <f t="shared" ref="DR96:DR106" si="60">CX96+DB96+DF96+DJ96+DN96</f>
        <v>34.926624074662442</v>
      </c>
      <c r="DS96" s="270">
        <f t="shared" si="52"/>
        <v>2.9677904904398296E-4</v>
      </c>
      <c r="DT96" s="270">
        <f t="shared" si="53"/>
        <v>0.15371852119349663</v>
      </c>
      <c r="DU96" s="270">
        <f t="shared" si="54"/>
        <v>3.7952444169956205</v>
      </c>
      <c r="DW96" s="278"/>
      <c r="DX96" s="278" t="s">
        <v>590</v>
      </c>
      <c r="DY96" s="281">
        <f t="shared" ref="DY96:DY100" si="61">DR96+DU96</f>
        <v>38.721868491658064</v>
      </c>
      <c r="DZ96" s="281">
        <f t="shared" ref="DZ96:DZ100" si="62">DS96+DT96</f>
        <v>0.15401530024254062</v>
      </c>
      <c r="EC96" s="412" t="s">
        <v>13</v>
      </c>
      <c r="ED96" s="412" t="s">
        <v>76</v>
      </c>
      <c r="EE96" s="412">
        <v>3134.9627</v>
      </c>
      <c r="EF96" s="412">
        <v>0.77555789932683494</v>
      </c>
      <c r="EG96" s="413">
        <v>859003</v>
      </c>
      <c r="EH96" s="414">
        <f t="shared" si="55"/>
        <v>29.17516603231638</v>
      </c>
      <c r="EI96" s="415">
        <f t="shared" si="56"/>
        <v>0.11604352091276812</v>
      </c>
      <c r="EJ96" s="402">
        <v>0</v>
      </c>
      <c r="EM96" s="278" t="s">
        <v>13</v>
      </c>
      <c r="EN96" s="278" t="s">
        <v>76</v>
      </c>
      <c r="EO96" s="278">
        <v>3134.9627</v>
      </c>
      <c r="EP96" s="278">
        <v>0.77555789932683494</v>
      </c>
      <c r="EQ96" s="289">
        <v>859003</v>
      </c>
      <c r="ER96" s="290">
        <f t="shared" si="37"/>
        <v>29.17516603231638</v>
      </c>
      <c r="ES96" s="291">
        <f t="shared" si="38"/>
        <v>0.11604352091276812</v>
      </c>
      <c r="ET96" s="402">
        <v>0</v>
      </c>
      <c r="EV96" s="34"/>
      <c r="EW96" s="34"/>
      <c r="EX96" s="34"/>
      <c r="EY96" s="34"/>
      <c r="EZ96" s="378"/>
      <c r="FA96" s="401"/>
      <c r="FB96" s="402"/>
      <c r="FC96" s="402"/>
    </row>
    <row r="97" spans="1:159">
      <c r="A97" s="205"/>
      <c r="B97" s="205" t="s">
        <v>14</v>
      </c>
      <c r="C97" s="400">
        <f>'A.일산테크노밸리(859991)_수정'!$P30*KTDB_TripDistribution_2040!T$12 * (1+KTDB_발생량도착량_증가율!$D$8 *5) * (1+KTDB_발생량도착량_증가율!$E$8 *5) * (1+KTDB_발생량도착량_증가율!$F$8 *5)</f>
        <v>113.04127095223394</v>
      </c>
      <c r="D97" s="400">
        <f>'A.일산테크노밸리(859991)_수정'!$P30*KTDB_TripDistribution_2040!U$12 * (1+KTDB_발생량도착량_증가율!$D$8 *5) * (1+KTDB_발생량도착량_증가율!$E$8 *5) * (1+KTDB_발생량도착량_증가율!$F$8 *5)</f>
        <v>818.10280405694789</v>
      </c>
      <c r="E97" s="400">
        <f>'A.일산테크노밸리(859991)_수정'!$P30*KTDB_TripDistribution_2040!V$12 * (1+KTDB_발생량도착량_증가율!$D$8 *5) * (1+KTDB_발생량도착량_증가율!$E$8 *5) * (1+KTDB_발생량도착량_증가율!$F$8 *5)</f>
        <v>46.932532894261684</v>
      </c>
      <c r="F97" s="400">
        <f>'A.일산테크노밸리(859991)_수정'!$P30*KTDB_TripDistribution_2040!W$12 * (1+KTDB_발생량도착량_증가율!$D$8 *5) * (1+KTDB_발생량도착량_증가율!$E$8 *5) * (1+KTDB_발생량도착량_증가율!$F$8 *5)</f>
        <v>7.3754635245042152E-2</v>
      </c>
      <c r="G97" s="400">
        <f>'A.일산테크노밸리(859991)_수정'!$P30*KTDB_TripDistribution_2040!X$12 * (1+KTDB_발생량도착량_증가율!$D$8 *5) * (1+KTDB_발생량도착량_증가율!$E$8 *5) * (1+KTDB_발생량도착량_증가율!$F$8 *5)</f>
        <v>0.27862862203682509</v>
      </c>
      <c r="H97" s="400">
        <f>'A.일산테크노밸리(859991)_수정'!$P30*KTDB_TripDistribution_2040!Y$12 * (1+KTDB_발생량도착량_증가율!$D$8 *5) * (1+KTDB_발생량도착량_증가율!$E$8 *5) * (1+KTDB_발생량도착량_증가율!$F$8 *5)</f>
        <v>978.42899116072556</v>
      </c>
      <c r="J97" s="230">
        <f t="shared" si="57"/>
        <v>978.42899116072556</v>
      </c>
      <c r="K97" s="206"/>
      <c r="L97" s="209" t="s">
        <v>14</v>
      </c>
      <c r="M97" s="213">
        <f>INDEX($A$94:$H$106,MATCH($L97,$B$94:$B$106,0),MATCH($M$93,$A$94:$H$94,0))*고양시_Modal_split!C$3 * 0.01</f>
        <v>0.31651555866625503</v>
      </c>
      <c r="N97" s="213">
        <f>INDEX($A$94:$H$106,MATCH($L97,$B$94:$B$106,0),MATCH($M$93,$A$94:$H$94,0))*고양시_Modal_split!D$3 * 0.01</f>
        <v>53.163309728835628</v>
      </c>
      <c r="O97" s="213">
        <f>INDEX($A$94:$H$106,MATCH($L97,$B$94:$B$106,0),MATCH($M$93,$A$94:$H$94,0))*고양시_Modal_split!E$3 * 0.01</f>
        <v>6.4320483171821108</v>
      </c>
      <c r="P97" s="213">
        <f>INDEX($A$94:$H$106,MATCH($L97,$B$94:$B$106,0),MATCH($M$93,$A$94:$H$94,0))*고양시_Modal_split!F$3 * 0.01</f>
        <v>10.365884546319853</v>
      </c>
      <c r="Q97" s="213">
        <f>INDEX($A$94:$H$106,MATCH($L97,$B$94:$B$106,0),MATCH($M$93,$A$94:$H$94,0))*고양시_Modal_split!G$3 * 0.01</f>
        <v>1.0399796927605522</v>
      </c>
      <c r="R97" s="213">
        <f>INDEX($A$94:$H$106,MATCH($L97,$B$94:$B$106,0),MATCH($M$93,$A$94:$H$94,0))*고양시_Modal_split!H$3 * 0.01</f>
        <v>1.1304127095223396E-2</v>
      </c>
      <c r="S97" s="213">
        <f>INDEX($A$94:$H$106,MATCH($L97,$B$94:$B$106,0),MATCH($M$93,$A$94:$H$94,0))*고양시_Modal_split!I$3 * 0.01</f>
        <v>3.1425473324721036</v>
      </c>
      <c r="T97" s="213">
        <f>INDEX($A$94:$H$106,MATCH($L97,$B$94:$B$106,0),MATCH($M$93,$A$94:$H$94,0))*고양시_Modal_split!J$3 * 0.01</f>
        <v>34.409762877860011</v>
      </c>
      <c r="U97" s="213">
        <f>INDEX($A$94:$H$106,MATCH($L97,$B$94:$B$106,0),MATCH($M$93,$A$94:$H$94,0))*고양시_Modal_split!K$3 * 0.01</f>
        <v>0.16956190642835089</v>
      </c>
      <c r="V97" s="213">
        <f>INDEX($A$94:$H$106,MATCH($L97,$B$94:$B$106,0),MATCH($M$93,$A$94:$H$94,0))*고양시_Modal_split!L$3 * 0.01</f>
        <v>3.4138463827574652</v>
      </c>
      <c r="W97" s="213">
        <f>INDEX($A$94:$H$106,MATCH($L97,$B$94:$B$106,0),MATCH($M$93,$A$94:$H$94,0))*고양시_Modal_split!M$3 * 0.01</f>
        <v>0.25999492319013806</v>
      </c>
      <c r="X97" s="213">
        <f>INDEX($A$94:$H$106,MATCH($L97,$B$94:$B$106,0),MATCH($M$93,$A$94:$H$94,0))*고양시_Modal_split!N$3 * 0.01</f>
        <v>0.11304127095223394</v>
      </c>
      <c r="Y97" s="213">
        <f>INDEX($A$94:$H$106,MATCH($L97,$B$94:$B$106,0),MATCH($M$93,$A$94:$H$94,0))*고양시_Modal_split!O$3 * 0.01</f>
        <v>0.20347428771402112</v>
      </c>
      <c r="Z97" s="213">
        <f>INDEX($A$94:$H$106,MATCH($L97,$B$94:$B$106,0),MATCH($M$93,$A$94:$H$94,0))*고양시_Modal_split!P$3 * 0.01</f>
        <v>113.04127095223394</v>
      </c>
      <c r="AA97" s="213">
        <f>INDEX($A$94:$H$106,MATCH($L97,$B$94:$B$106,0),MATCH($AA$93,$A$94:$H$94,0))*고양시_Modal_split!C$4 * 0.01</f>
        <v>249.03049355493496</v>
      </c>
      <c r="AB97" s="213">
        <f>INDEX($A$94:$H$106,MATCH($L97,$B$94:$B$106,0),MATCH($AA$93,$A$94:$H$94,0))*고양시_Modal_split!D$4 * 0.01</f>
        <v>262.36556926106317</v>
      </c>
      <c r="AC97" s="213">
        <f>INDEX($A$94:$H$106,MATCH($L97,$B$94:$B$106,0),MATCH($AA$93,$A$94:$H$94,0))*고양시_Modal_split!E$4 * 0.01</f>
        <v>63.566587875224862</v>
      </c>
      <c r="AD97" s="213">
        <f>INDEX($A$94:$H$106,MATCH($L97,$B$94:$B$106,0),MATCH($AA$93,$A$94:$H$94,0))*고양시_Modal_split!F$4 * 0.01</f>
        <v>7.7719766385410054</v>
      </c>
      <c r="AE97" s="213">
        <f>INDEX($A$94:$H$106,MATCH($L97,$B$94:$B$106,0),MATCH($AA$93,$A$94:$H$94,0))*고양시_Modal_split!G$4 * 0.01</f>
        <v>95.799838355068587</v>
      </c>
      <c r="AF97" s="213">
        <f>INDEX($A$94:$H$106,MATCH($L97,$B$94:$B$106,0),MATCH($AA$93,$A$94:$H$94,0))*고양시_Modal_split!H$4 * 0.01</f>
        <v>0</v>
      </c>
      <c r="AG97" s="213">
        <f>INDEX($A$94:$H$106,MATCH($L97,$B$94:$B$106,0),MATCH($AA$93,$A$94:$H$94,0))*고양시_Modal_split!I$4 * 0.01</f>
        <v>28.469977581181784</v>
      </c>
      <c r="AH97" s="213">
        <f>INDEX($A$94:$H$106,MATCH($L97,$B$94:$B$106,0),MATCH($AA$93,$A$94:$H$94,0))*고양시_Modal_split!J$4 * 0.01</f>
        <v>38.532642071082243</v>
      </c>
      <c r="AI97" s="213">
        <f>INDEX($A$94:$H$106,MATCH($L97,$B$94:$B$106,0),MATCH($AA$93,$A$94:$H$94,0))*고양시_Modal_split!K$4 * 0.01</f>
        <v>0</v>
      </c>
      <c r="AJ97" s="213">
        <f>INDEX($A$94:$H$106,MATCH($L97,$B$94:$B$106,0),MATCH($AA$93,$A$94:$H$94,0))*고양시_Modal_split!L$4 * 0.01</f>
        <v>37.796349547430992</v>
      </c>
      <c r="AK97" s="213">
        <f>INDEX($A$94:$H$106,MATCH($L97,$B$94:$B$106,0),MATCH($AA$93,$A$94:$H$94,0))*고양시_Modal_split!M$4 * 0.01</f>
        <v>5.4812887871815512</v>
      </c>
      <c r="AL97" s="213">
        <f>INDEX($A$94:$H$106,MATCH($L97,$B$94:$B$106,0),MATCH($AA$93,$A$94:$H$94,0))*고양시_Modal_split!N$4 * 0.01</f>
        <v>20.452570101423699</v>
      </c>
      <c r="AM97" s="213">
        <f>INDEX($A$94:$H$106,MATCH($L97,$B$94:$B$106,0),MATCH($AA$93,$A$94:$H$94,0))*고양시_Modal_split!O$4 * 0.01</f>
        <v>8.8355102838150383</v>
      </c>
      <c r="AN97" s="213">
        <f>INDEX($A$94:$H$106,MATCH($L97,$B$94:$B$106,0),MATCH($AA$93,$A$94:$H$94,0))*고양시_Modal_split!P$4 * 0.01</f>
        <v>818.102804056948</v>
      </c>
      <c r="AO97" s="213">
        <f>INDEX($A$94:$H$106,MATCH($L97,$B$94:$B$106,0),MATCH($AO$93,$A$94:$H$94,0))*고양시_Modal_split!C$5 * 0.01</f>
        <v>2.8159519736557011E-2</v>
      </c>
      <c r="AP97" s="213">
        <f>INDEX($A$94:$H$106,MATCH($L97,$B$94:$B$106,0),MATCH($AO$93,$A$94:$H$94,0))*고양시_Modal_split!D$5 * 0.01</f>
        <v>34.392160104914964</v>
      </c>
      <c r="AQ97" s="213">
        <f>INDEX($A$94:$H$106,MATCH($L97,$B$94:$B$106,0),MATCH($AO$93,$A$94:$H$94,0))*고양시_Modal_split!E$5 * 0.01</f>
        <v>4.6228544900847757</v>
      </c>
      <c r="AR97" s="213">
        <f>INDEX($A$94:$H$106,MATCH($L97,$B$94:$B$106,0),MATCH($AO$93,$A$94:$H$94,0))*고양시_Modal_split!F$5 * 0.01</f>
        <v>0.98558319077949541</v>
      </c>
      <c r="AS97" s="213">
        <f>INDEX($A$94:$H$106,MATCH($L97,$B$94:$B$106,0),MATCH($AO$93,$A$94:$H$94,0))*고양시_Modal_split!G$5 * 0.01</f>
        <v>0.30506146381270094</v>
      </c>
      <c r="AT97" s="213">
        <f>INDEX($A$94:$H$106,MATCH($L97,$B$94:$B$106,0),MATCH($AO$93,$A$94:$H$94,0))*고양시_Modal_split!H$5 * 0.01</f>
        <v>3.2852773025983176E-2</v>
      </c>
      <c r="AU97" s="213">
        <f>INDEX($A$94:$H$106,MATCH($L97,$B$94:$B$106,0),MATCH($AO$93,$A$94:$H$94,0))*고양시_Modal_split!I$5 * 0.01</f>
        <v>1.3000311611710487</v>
      </c>
      <c r="AV97" s="213">
        <f>INDEX($A$94:$H$106,MATCH($L97,$B$94:$B$106,0),MATCH($AO$93,$A$94:$H$94,0))*고양시_Modal_split!J$5 * 0.01</f>
        <v>2.942669812470208</v>
      </c>
      <c r="AW97" s="213">
        <f>INDEX($A$94:$H$106,MATCH($L97,$B$94:$B$106,0),MATCH($AO$93,$A$94:$H$94,0))*고양시_Modal_split!K$5 * 0.01</f>
        <v>9.3865065788523369E-3</v>
      </c>
      <c r="AX97" s="213">
        <f>INDEX($A$94:$H$106,MATCH($L97,$B$94:$B$106,0),MATCH($AO$93,$A$94:$H$94,0))*고양시_Modal_split!L$5 * 0.01</f>
        <v>1.196779588803673</v>
      </c>
      <c r="AY97" s="213">
        <f>INDEX($A$94:$H$106,MATCH($L97,$B$94:$B$106,0),MATCH($AO$93,$A$94:$H$94,0))*고양시_Modal_split!M$5 * 0.01</f>
        <v>0.31444797039155331</v>
      </c>
      <c r="AZ97" s="213">
        <f>INDEX($A$94:$H$106,MATCH($L97,$B$94:$B$106,0),MATCH($AO$93,$A$94:$H$94,0))*고양시_Modal_split!N$5 * 0.01</f>
        <v>7.9785305920244853E-2</v>
      </c>
      <c r="BA97" s="213">
        <f>INDEX($A$94:$H$106,MATCH($L97,$B$94:$B$106,0),MATCH($AO$93,$A$94:$H$94,0))*고양시_Modal_split!O$5 * 0.01</f>
        <v>0.72276100657163</v>
      </c>
      <c r="BB97" s="213">
        <f>INDEX($A$94:$H$106,MATCH($L97,$B$94:$B$106,0),MATCH($AO$93,$A$94:$H$94,0))*고양시_Modal_split!P$5 * 0.01</f>
        <v>46.932532894261676</v>
      </c>
      <c r="BC97" s="213">
        <f>INDEX($A$94:$H$106,MATCH($L97,$B$94:$B$106,0),MATCH($BC$93,$A$94:$H$94,0))*고양시_Modal_split!C$6 * 0.01</f>
        <v>0</v>
      </c>
      <c r="BD97" s="207">
        <f>INDEX($A$94:$H$106,MATCH($L97,$B$94:$B$106,0),MATCH($BC$93,$A$94:$H$94,0))*고양시_Modal_split!D$6 * 0.01</f>
        <v>6.1076213446419399E-2</v>
      </c>
      <c r="BE97" s="207">
        <f>INDEX($A$94:$H$106,MATCH($L97,$B$94:$B$106,0),MATCH($BC$93,$A$94:$H$94,0))*고양시_Modal_split!E$6 * 0.01</f>
        <v>3.1714493155368125E-4</v>
      </c>
      <c r="BF97" s="207">
        <f>INDEX($A$94:$H$106,MATCH($L97,$B$94:$B$106,0),MATCH($BC$93,$A$94:$H$94,0))*고양시_Modal_split!F$6 * 0.01</f>
        <v>8.9980654998951428E-4</v>
      </c>
      <c r="BG97" s="207">
        <f>INDEX($A$94:$H$106,MATCH($L97,$B$94:$B$106,0),MATCH($BC$93,$A$94:$H$94,0))*고양시_Modal_split!G$6 * 0.01</f>
        <v>0</v>
      </c>
      <c r="BH97" s="207">
        <f>INDEX($A$94:$H$106,MATCH($L97,$B$94:$B$106,0),MATCH($BC$93,$A$94:$H$94,0))*고양시_Modal_split!H$6 * 0.01</f>
        <v>3.9163711315117391E-3</v>
      </c>
      <c r="BI97" s="207">
        <f>INDEX($A$94:$H$106,MATCH($L97,$B$94:$B$106,0),MATCH($BC$93,$A$94:$H$94,0))*고양시_Modal_split!I$6 * 0.01</f>
        <v>2.6109140876744924E-3</v>
      </c>
      <c r="BJ97" s="207">
        <f>INDEX($A$94:$H$106,MATCH($L97,$B$94:$B$106,0),MATCH($BC$93,$A$94:$H$94,0))*고양시_Modal_split!J$6 * 0.01</f>
        <v>3.6434789811050821E-3</v>
      </c>
      <c r="BK97" s="207">
        <f>INDEX($A$94:$H$106,MATCH($L97,$B$94:$B$106,0),MATCH($BC$93,$A$94:$H$94,0))*고양시_Modal_split!K$6 * 0.01</f>
        <v>0</v>
      </c>
      <c r="BL97" s="207">
        <f>INDEX($A$94:$H$106,MATCH($L97,$B$94:$B$106,0),MATCH($BC$93,$A$94:$H$94,0))*고양시_Modal_split!L$6 * 0.01</f>
        <v>5.605352278623204E-4</v>
      </c>
      <c r="BM97" s="207">
        <f>INDEX($A$94:$H$106,MATCH($L97,$B$94:$B$106,0),MATCH($BC$93,$A$94:$H$94,0))*고양시_Modal_split!M$6 * 0.01</f>
        <v>6.7116718072988361E-4</v>
      </c>
      <c r="BN97" s="207">
        <f>INDEX($A$94:$H$106,MATCH($L97,$B$94:$B$106,0),MATCH($BC$93,$A$94:$H$94,0))*고양시_Modal_split!N$6 * 0.01</f>
        <v>0</v>
      </c>
      <c r="BO97" s="207">
        <f>INDEX($A$94:$H$106,MATCH($L97,$B$94:$B$106,0),MATCH($BC$93,$A$94:$H$94,0))*고양시_Modal_split!O$6 * 0.01</f>
        <v>5.9003708196033728E-5</v>
      </c>
      <c r="BP97" s="214">
        <f>INDEX($A$94:$H$106,MATCH($L97,$B$94:$B$106,0),MATCH($BC$93,$A$94:$H$94,0))*고양시_Modal_split!P$6 * 0.01</f>
        <v>7.3754635245042152E-2</v>
      </c>
      <c r="BQ97" s="213">
        <f>INDEX($A$94:$H$106,MATCH($L97,$B$94:$B$106,0),MATCH($BQ$93,$A$94:$H$94,0))*고양시_Modal_split!C$7 * 0.01</f>
        <v>0</v>
      </c>
      <c r="BR97" s="213">
        <f>INDEX($A$94:$H$106,MATCH($L97,$B$94:$B$106,0),MATCH($BQ$93,$A$94:$H$94,0))*고양시_Modal_split!D$7 * 0.01</f>
        <v>0.17074361958416642</v>
      </c>
      <c r="BS97" s="213">
        <f>INDEX($A$94:$H$106,MATCH($L97,$B$94:$B$106,0),MATCH($BQ$93,$A$94:$H$94,0))*고양시_Modal_split!E$7 * 0.01</f>
        <v>8.3309957989010693E-3</v>
      </c>
      <c r="BT97" s="213">
        <f>INDEX($A$94:$H$106,MATCH($L97,$B$94:$B$106,0),MATCH($BQ$93,$A$94:$H$94,0))*고양시_Modal_split!F$7 * 0.01</f>
        <v>2.7862862203682508E-3</v>
      </c>
      <c r="BU97" s="213">
        <f>INDEX($A$94:$H$106,MATCH($L97,$B$94:$B$106,0),MATCH($BQ$93,$A$94:$H$94,0))*고양시_Modal_split!G$7 * 0.01</f>
        <v>1.1702402125546654E-3</v>
      </c>
      <c r="BV97" s="213">
        <f>INDEX($A$94:$H$106,MATCH($L97,$B$94:$B$106,0),MATCH($BQ$93,$A$94:$H$94,0))*고양시_Modal_split!H$7 * 0.01</f>
        <v>1.5575339971858521E-2</v>
      </c>
      <c r="BW97" s="213">
        <f>INDEX($A$94:$H$106,MATCH($L97,$B$94:$B$106,0),MATCH($BQ$93,$A$94:$H$94,0))*고양시_Modal_split!I$7 * 0.01</f>
        <v>5.2019963734275247E-2</v>
      </c>
      <c r="BX97" s="213">
        <f>INDEX($A$94:$H$106,MATCH($L97,$B$94:$B$106,0),MATCH($BQ$93,$A$94:$H$94,0))*고양시_Modal_split!J$7 * 0.01</f>
        <v>5.5725724407365019E-5</v>
      </c>
      <c r="BY97" s="213">
        <f>INDEX($A$94:$H$106,MATCH($L97,$B$94:$B$106,0),MATCH($BQ$93,$A$94:$H$94,0))*고양시_Modal_split!K$7 * 0.01</f>
        <v>2.1454403896835533E-2</v>
      </c>
      <c r="BZ97" s="213">
        <f>INDEX($A$94:$H$106,MATCH($L97,$B$94:$B$106,0),MATCH($BQ$93,$A$94:$H$94,0))*고양시_Modal_split!L$7 * 0.01</f>
        <v>1.9504003542577758E-4</v>
      </c>
      <c r="CA97" s="213">
        <f>INDEX($A$94:$H$106,MATCH($L97,$B$94:$B$106,0),MATCH($BQ$93,$A$94:$H$94,0))*고양시_Modal_split!M$7 * 0.01</f>
        <v>5.2103552320886294E-3</v>
      </c>
      <c r="CB97" s="213">
        <f>INDEX($A$94:$H$106,MATCH($L97,$B$94:$B$106,0),MATCH($BQ$93,$A$94:$H$94,0))*고양시_Modal_split!N$7 * 0.01</f>
        <v>1.0866516259436178E-3</v>
      </c>
      <c r="CC97" s="213">
        <f>INDEX($A$94:$H$106,MATCH($L97,$B$94:$B$106,0),MATCH($BQ$93,$A$94:$H$94,0))*고양시_Modal_split!O$7 * 0.01</f>
        <v>0</v>
      </c>
      <c r="CD97" s="213">
        <f>INDEX($A$94:$H$106,MATCH($L97,$B$94:$B$106,0),MATCH($BQ$93,$A$94:$H$94,0))*고양시_Modal_split!P$7 * 0.01</f>
        <v>0.27862862203682509</v>
      </c>
      <c r="CE97" s="218">
        <f t="shared" si="58"/>
        <v>249.37516863333778</v>
      </c>
      <c r="CF97" s="208">
        <f t="shared" si="39"/>
        <v>350.15285892784436</v>
      </c>
      <c r="CG97" s="208">
        <f t="shared" si="40"/>
        <v>74.630138823222211</v>
      </c>
      <c r="CH97" s="208">
        <f t="shared" si="41"/>
        <v>19.127130468410709</v>
      </c>
      <c r="CI97" s="208">
        <f t="shared" si="42"/>
        <v>97.146049751854406</v>
      </c>
      <c r="CJ97" s="208">
        <f t="shared" si="43"/>
        <v>6.3648611224576837E-2</v>
      </c>
      <c r="CK97" s="208">
        <f t="shared" si="44"/>
        <v>32.967186952646884</v>
      </c>
      <c r="CL97" s="208">
        <f t="shared" si="45"/>
        <v>75.888773966117981</v>
      </c>
      <c r="CM97" s="208">
        <f t="shared" si="46"/>
        <v>0.20040281690403877</v>
      </c>
      <c r="CN97" s="208">
        <f t="shared" si="47"/>
        <v>42.407731094255418</v>
      </c>
      <c r="CO97" s="208">
        <f t="shared" si="48"/>
        <v>6.0616132031760621</v>
      </c>
      <c r="CP97" s="208">
        <f t="shared" si="49"/>
        <v>20.64648332992212</v>
      </c>
      <c r="CQ97" s="208">
        <f t="shared" si="50"/>
        <v>9.761804581808887</v>
      </c>
      <c r="CR97" s="219">
        <f t="shared" si="51"/>
        <v>978.42899116072556</v>
      </c>
      <c r="CS97" s="225">
        <f t="shared" si="59"/>
        <v>0</v>
      </c>
      <c r="CV97" s="265"/>
      <c r="CW97" s="266" t="s">
        <v>14</v>
      </c>
      <c r="CX97" s="267">
        <f>INDEX($M$93:$Z$106,MATCH($CW97,$L$93:$L$106,0),MATCH(CX$94,$M$94:$Z$94,0))/INDEX(고양시_재차인원!$D$4:$H$35,MATCH("고양시",고양시_재차인원!$B$4:$B$35,0),MATCH('A.일산테크노밸리(859991)_수정'!$CX$93,고양시_재차인원!$D$4:$H$4,0))</f>
        <v>47.467240829317518</v>
      </c>
      <c r="CY97" s="267">
        <f>INDEX($M$93:$Z$106,MATCH($CW97,$L$93:$L$106,0),MATCH(CY$94,$M$94:$Z$94,0))/INDEX(고양시_재차인원!$K$4:$O$20,MATCH("경기도",고양시_재차인원!$K$4:$K$20,0),MATCH('A.일산테크노밸리(859991)_수정'!CY$94,고양시_재차인원!$K$4:$O$4,0))</f>
        <v>3.9264074662116695E-4</v>
      </c>
      <c r="CZ97" s="267">
        <f>INDEX($M$93:$Z$106,MATCH($CW97,$L$93:$L$106,0),MATCH(CZ$94,$M$94:$Z$94,0))/INDEX(고양시_재차인원!$K$4:$O$20,MATCH("경기도",고양시_재차인원!$K$4:$K$20,0),MATCH('A.일산테크노밸리(859991)_수정'!CZ$94,고양시_재차인원!$K$4:$O$4,0))</f>
        <v>0.10915412756068439</v>
      </c>
      <c r="DA97" s="267">
        <f>INDEX($M$93:$Z$106,MATCH($CW97,$L$93:$L$106,0),MATCH(DA$94,$M$94:$Z$94,0))/INDEX(고양시_재차인원!$K$4:$O$20,MATCH("경기도",고양시_재차인원!$K$4:$K$20,0),MATCH('A.일산테크노밸리(859991)_수정'!DA$94,고양시_재차인원!$K$4:$O$4,0))</f>
        <v>2.2758975885049768</v>
      </c>
      <c r="DB97" s="268">
        <f>INDEX($AA$93:$AN$106,MATCH($CW97,$L$93:$L$106,0),MATCH(DB$94,$AA$94:$AN$94,0))/INDEX(고양시_재차인원!$D$4:$H$35,MATCH("고양시",고양시_재차인원!$B$4:$B$35,0),MATCH('A.일산테크노밸리(859991)_수정'!$DB$93,고양시_재차인원!$D$4:$H$4,0))</f>
        <v>186.07487181635688</v>
      </c>
      <c r="DC97" s="267">
        <f>INDEX($AA$93:$AN$106,MATCH($CW97,$L$93:$L$106,0),MATCH(DC$94,$AA$94:$AN$94,0))/INDEX(고양시_재차인원!$K$4:$O$20,MATCH("경기도",고양시_재차인원!$K$4:$K$20,0),MATCH('A.일산테크노밸리(859991)_수정'!DC$94,고양시_재차인원!$K$4:$O$4,0))</f>
        <v>0</v>
      </c>
      <c r="DD97" s="267">
        <f>INDEX($AA$93:$AN$106,MATCH($CW97,$L$93:$L$106,0),MATCH(DD$94,$AA$94:$AN$94,0))/INDEX(고양시_재차인원!$K$4:$O$20,MATCH("경기도",고양시_재차인원!$K$4:$K$20,0),MATCH('A.일산테크노밸리(859991)_수정'!DD$94,고양시_재차인원!$K$4:$O$4,0))</f>
        <v>0.98888425082256981</v>
      </c>
      <c r="DE97" s="267">
        <f>INDEX($AA$93:$AN$106,MATCH($CW97,$L$93:$L$106,0),MATCH(DE$94,$AA$94:$AN$94,0))/INDEX(고양시_재차인원!$K$4:$O$20,MATCH("경기도",고양시_재차인원!$K$4:$K$20,0),MATCH('A.일산테크노밸리(859991)_수정'!DE$94,고양시_재차인원!$K$4:$O$4,0))</f>
        <v>25.197566364953996</v>
      </c>
      <c r="DF97" s="268">
        <f>INDEX($AO$93:$BB$106,MATCH($CW97,$L$93:$L$106,0),MATCH(DF$94,$AO$94:$BB$94,0))/INDEX(고양시_재차인원!$D$4:$H$35,MATCH("고양시",고양시_재차인원!$B$4:$B$35,0),MATCH('A.일산테크노밸리(859991)_수정'!$DF$93,고양시_재차인원!$D$4:$H$4,0))</f>
        <v>26.455507773011512</v>
      </c>
      <c r="DG97" s="267">
        <f>INDEX($AO$93:$BB$106,MATCH($CW97,$L$93:$L$106,0),MATCH(DG$94,$AO$94:$BB$94,0))/INDEX(고양시_재차인원!$K$4:$O$20,MATCH("경기도",고양시_재차인원!$K$4:$K$20,0),MATCH('A.일산테크노밸리(859991)_수정'!DG$94,고양시_재차인원!$K$4:$O$4,0))</f>
        <v>1.1411175069810065E-3</v>
      </c>
      <c r="DH97" s="267">
        <f>INDEX($AO$93:$BB$106,MATCH($CW97,$L$93:$L$106,0),MATCH(DH$94,$AO$94:$BB$94,0))/INDEX(고양시_재차인원!$K$4:$O$20,MATCH("경기도",고양시_재차인원!$K$4:$K$20,0),MATCH('A.일산테크노밸리(859991)_수정'!DH$94,고양시_재차인원!$K$4:$O$4,0))</f>
        <v>4.5155649919105548E-2</v>
      </c>
      <c r="DI97" s="267">
        <f>INDEX($AO$93:$BB$106,MATCH($CW97,$L$93:$L$106,0),MATCH(DI$94,$AO$94:$BB$94,0))/INDEX(고양시_재차인원!$K$4:$O$20,MATCH("경기도",고양시_재차인원!$K$4:$K$20,0),MATCH('A.일산테크노밸리(859991)_수정'!DI$94,고양시_재차인원!$K$4:$O$4,0))</f>
        <v>0.79785305920244864</v>
      </c>
      <c r="DJ97" s="268">
        <f>INDEX($BC$93:$BP$106,MATCH($CW97,$L$93:$L$106,0),MATCH(DJ$94,$BC$94:$BP$94,0))/INDEX(고양시_재차인원!$D$4:$H$35,MATCH("고양시",고양시_재차인원!$B$4:$B$35,0),MATCH('A.일산테크노밸리(859991)_수정'!$DJ$93,고양시_재차인원!$D$4:$H$4,0))</f>
        <v>4.4908980475308377E-2</v>
      </c>
      <c r="DK97" s="267">
        <f>INDEX($BC$93:$BP$106,MATCH($CW97,$L$93:$L$106,0),MATCH(DK$94,$BC$94:$BP$94,0))/INDEX(고양시_재차인원!$K$4:$O$20,MATCH("경기도",고양시_재차인원!$K$4:$K$20,0),MATCH('A.일산테크노밸리(859991)_수정'!DK$94,고양시_재차인원!$K$4:$O$4,0))</f>
        <v>1.3603234218519415E-4</v>
      </c>
      <c r="DL97" s="267">
        <f>INDEX($BC$93:$BP$106,MATCH($CW97,$L$93:$L$106,0),MATCH(DL$94,$BC$94:$BP$94,0))/INDEX(고양시_재차인원!$K$4:$O$20,MATCH("경기도",고양시_재차인원!$K$4:$K$20,0),MATCH('A.일산테크노밸리(859991)_수정'!DL$94,고양시_재차인원!$K$4:$O$4,0))</f>
        <v>9.0688228123462743E-5</v>
      </c>
      <c r="DM97" s="267">
        <f>INDEX($BC$93:$BP$106,MATCH($CW97,$L$93:$L$106,0),MATCH(DM$94,$BC$94:$BP$94,0))/INDEX(고양시_재차인원!$K$4:$O$20,MATCH("경기도",고양시_재차인원!$K$4:$K$20,0),MATCH('A.일산테크노밸리(859991)_수정'!DM$94,고양시_재차인원!$K$4:$O$4,0))</f>
        <v>3.7369015190821358E-4</v>
      </c>
      <c r="DN97" s="268">
        <f>INDEX($BQ$93:$CD$106,MATCH($CW97,$L$93:$L$106,0),MATCH(DN$94,$BQ$94:$CD$94,0))/INDEX(고양시_재차인원!$D$4:$H$35,MATCH("고양시",고양시_재차인원!$B$4:$B$35,0),MATCH('A.일산테크노밸리(859991)_수정'!$DN$93,고양시_재차인원!$D$4:$H$4,0))</f>
        <v>0.13551080919378286</v>
      </c>
      <c r="DO97" s="267">
        <f>INDEX($BQ$93:$CD$106,MATCH($CW97,$L$93:$L$106,0),MATCH(DO$94,$BQ$94:$CD$94,0))/INDEX(고양시_재차인원!$K$4:$O$20,MATCH("경기도",고양시_재차인원!$K$4:$K$20,0),MATCH('A.일산테크노밸리(859991)_수정'!DO$94,고양시_재차인원!$K$4:$O$4,0))</f>
        <v>5.4099826230838909E-4</v>
      </c>
      <c r="DP97" s="267">
        <f>INDEX($BQ$93:$CD$106,MATCH($CW97,$L$93:$L$106,0),MATCH(DP$94,$BQ$94:$CD$94,0))/INDEX(고양시_재차인원!$K$4:$O$20,MATCH("경기도",고양시_재차인원!$K$4:$K$20,0),MATCH('A.일산테크노밸리(859991)_수정'!DP$94,고양시_재차인원!$K$4:$O$4,0))</f>
        <v>1.806876128318001E-3</v>
      </c>
      <c r="DQ97" s="267">
        <f>INDEX($BQ$93:$CD$106,MATCH($CW97,$L$93:$L$106,0),MATCH(DQ$94,$BQ$94:$CD$94,0))/INDEX(고양시_재차인원!$K$4:$O$20,MATCH("경기도",고양시_재차인원!$K$4:$K$20,0),MATCH('A.일산테크노밸리(859991)_수정'!DQ$94,고양시_재차인원!$K$4:$O$4,0))</f>
        <v>1.3002669028385172E-4</v>
      </c>
      <c r="DR97" s="269">
        <f t="shared" si="60"/>
        <v>260.17804020835501</v>
      </c>
      <c r="DS97" s="270">
        <f t="shared" si="52"/>
        <v>2.2107888580957568E-3</v>
      </c>
      <c r="DT97" s="270">
        <f t="shared" si="53"/>
        <v>1.1450915926588012</v>
      </c>
      <c r="DU97" s="270">
        <f t="shared" si="54"/>
        <v>28.271820729503613</v>
      </c>
      <c r="DW97" s="278"/>
      <c r="DX97" s="278" t="s">
        <v>591</v>
      </c>
      <c r="DY97" s="281">
        <f t="shared" si="61"/>
        <v>288.4498609378586</v>
      </c>
      <c r="DZ97" s="281">
        <f t="shared" si="62"/>
        <v>1.147302381516897</v>
      </c>
      <c r="EC97" s="412" t="s">
        <v>14</v>
      </c>
      <c r="ED97" s="412" t="s">
        <v>569</v>
      </c>
      <c r="EE97" s="412">
        <v>5454.9395000000004</v>
      </c>
      <c r="EF97" s="412">
        <v>0.43129277327301779</v>
      </c>
      <c r="EG97" s="413">
        <v>859004</v>
      </c>
      <c r="EH97" s="414">
        <f t="shared" si="55"/>
        <v>120.86075977059336</v>
      </c>
      <c r="EI97" s="415">
        <f t="shared" si="56"/>
        <v>0.48072076396880636</v>
      </c>
      <c r="EJ97" s="402">
        <v>0</v>
      </c>
      <c r="EM97" s="278" t="s">
        <v>14</v>
      </c>
      <c r="EN97" s="278" t="s">
        <v>569</v>
      </c>
      <c r="EO97" s="278">
        <v>5454.9395000000004</v>
      </c>
      <c r="EP97" s="278">
        <v>0.43129277327301779</v>
      </c>
      <c r="EQ97" s="289">
        <v>859004</v>
      </c>
      <c r="ER97" s="290">
        <f t="shared" si="37"/>
        <v>120.86075977059336</v>
      </c>
      <c r="ES97" s="291">
        <f t="shared" si="38"/>
        <v>0.48072076396880636</v>
      </c>
      <c r="ET97" s="402">
        <v>0</v>
      </c>
      <c r="EV97" s="34"/>
      <c r="EW97" s="34"/>
      <c r="EX97" s="34"/>
      <c r="EY97" s="34"/>
      <c r="EZ97" s="378"/>
      <c r="FA97" s="401"/>
      <c r="FB97" s="402"/>
      <c r="FC97" s="402"/>
    </row>
    <row r="98" spans="1:159" ht="16.5" customHeight="1">
      <c r="A98" s="205"/>
      <c r="B98" s="205" t="s">
        <v>15</v>
      </c>
      <c r="C98" s="400">
        <f>'A.일산테크노밸리(859991)_수정'!$P31*KTDB_TripDistribution_2040!T$12 * (1+KTDB_발생량도착량_증가율!$D$8 *5) * (1+KTDB_발생량도착량_증가율!$E$8 *5) * (1+KTDB_발생량도착량_증가율!$F$8 *5)</f>
        <v>3189.6771853224227</v>
      </c>
      <c r="D98" s="400">
        <f>'A.일산테크노밸리(859991)_수정'!$P31*KTDB_TripDistribution_2040!U$12 * (1+KTDB_발생량도착량_증가율!$D$8 *5) * (1+KTDB_발생량도착량_증가율!$E$8 *5) * (1+KTDB_발생량도착량_증가율!$F$8 *5)</f>
        <v>23084.346339766427</v>
      </c>
      <c r="E98" s="400">
        <f>'A.일산테크노밸리(859991)_수정'!$P31*KTDB_TripDistribution_2040!V$12 * (1+KTDB_발생량도착량_증가율!$D$8 *5) * (1+KTDB_발생량도착량_증가율!$E$8 *5) * (1+KTDB_발생량도착량_증가율!$F$8 *5)</f>
        <v>1324.291810957051</v>
      </c>
      <c r="F98" s="400">
        <f>'A.일산테크노밸리(859991)_수정'!$P31*KTDB_TripDistribution_2040!W$12 * (1+KTDB_발생량도착량_증가율!$D$8 *5) * (1+KTDB_발생량도착량_증가율!$E$8 *5) * (1+KTDB_발생량도착량_증가율!$F$8 *5)</f>
        <v>2.0811290900320416</v>
      </c>
      <c r="G98" s="400">
        <f>'A.일산테크노밸리(859991)_수정'!$P31*KTDB_TripDistribution_2040!X$12 * (1+KTDB_발생량도착량_증가율!$D$8 *5) * (1+KTDB_발생량도착량_증가율!$E$8 *5) * (1+KTDB_발생량도착량_증가율!$F$8 *5)</f>
        <v>7.8620432290099069</v>
      </c>
      <c r="H98" s="400">
        <f>'A.일산테크노밸리(859991)_수정'!$P31*KTDB_TripDistribution_2040!Y$12 * (1+KTDB_발생량도착량_증가율!$D$8 *5) * (1+KTDB_발생량도착량_증가율!$E$8 *5) * (1+KTDB_발생량도착량_증가율!$F$8 *5)</f>
        <v>27608.258508364946</v>
      </c>
      <c r="J98" s="230">
        <f t="shared" si="57"/>
        <v>27608.258508364939</v>
      </c>
      <c r="K98" s="206"/>
      <c r="L98" s="209" t="s">
        <v>15</v>
      </c>
      <c r="M98" s="213">
        <f>INDEX($A$94:$H$106,MATCH($L98,$B$94:$B$106,0),MATCH($M$93,$A$94:$H$94,0))*고양시_Modal_split!C$3 * 0.01</f>
        <v>8.9310961189027829</v>
      </c>
      <c r="N98" s="213">
        <f>INDEX($A$94:$H$106,MATCH($L98,$B$94:$B$106,0),MATCH($M$93,$A$94:$H$94,0))*고양시_Modal_split!D$3 * 0.01</f>
        <v>1500.1051802571353</v>
      </c>
      <c r="O98" s="213">
        <f>INDEX($A$94:$H$106,MATCH($L98,$B$94:$B$106,0),MATCH($M$93,$A$94:$H$94,0))*고양시_Modal_split!E$3 * 0.01</f>
        <v>181.49263184484582</v>
      </c>
      <c r="P98" s="213">
        <f>INDEX($A$94:$H$106,MATCH($L98,$B$94:$B$106,0),MATCH($M$93,$A$94:$H$94,0))*고양시_Modal_split!F$3 * 0.01</f>
        <v>292.49339789406616</v>
      </c>
      <c r="Q98" s="213">
        <f>INDEX($A$94:$H$106,MATCH($L98,$B$94:$B$106,0),MATCH($M$93,$A$94:$H$94,0))*고양시_Modal_split!G$3 * 0.01</f>
        <v>29.345030104966288</v>
      </c>
      <c r="R98" s="213">
        <f>INDEX($A$94:$H$106,MATCH($L98,$B$94:$B$106,0),MATCH($M$93,$A$94:$H$94,0))*고양시_Modal_split!H$3 * 0.01</f>
        <v>0.31896771853224226</v>
      </c>
      <c r="S98" s="213">
        <f>INDEX($A$94:$H$106,MATCH($L98,$B$94:$B$106,0),MATCH($M$93,$A$94:$H$94,0))*고양시_Modal_split!I$3 * 0.01</f>
        <v>88.673025751963337</v>
      </c>
      <c r="T98" s="213">
        <f>INDEX($A$94:$H$106,MATCH($L98,$B$94:$B$106,0),MATCH($M$93,$A$94:$H$94,0))*고양시_Modal_split!J$3 * 0.01</f>
        <v>970.93773521214553</v>
      </c>
      <c r="U98" s="213">
        <f>INDEX($A$94:$H$106,MATCH($L98,$B$94:$B$106,0),MATCH($M$93,$A$94:$H$94,0))*고양시_Modal_split!K$3 * 0.01</f>
        <v>4.7845157779836338</v>
      </c>
      <c r="V98" s="213">
        <f>INDEX($A$94:$H$106,MATCH($L98,$B$94:$B$106,0),MATCH($M$93,$A$94:$H$94,0))*고양시_Modal_split!L$3 * 0.01</f>
        <v>96.328250996737168</v>
      </c>
      <c r="W98" s="213">
        <f>INDEX($A$94:$H$106,MATCH($L98,$B$94:$B$106,0),MATCH($M$93,$A$94:$H$94,0))*고양시_Modal_split!M$3 * 0.01</f>
        <v>7.3362575262415719</v>
      </c>
      <c r="X98" s="213">
        <f>INDEX($A$94:$H$106,MATCH($L98,$B$94:$B$106,0),MATCH($M$93,$A$94:$H$94,0))*고양시_Modal_split!N$3 * 0.01</f>
        <v>3.1896771853224233</v>
      </c>
      <c r="Y98" s="213">
        <f>INDEX($A$94:$H$106,MATCH($L98,$B$94:$B$106,0),MATCH($M$93,$A$94:$H$94,0))*고양시_Modal_split!O$3 * 0.01</f>
        <v>5.7414189335803609</v>
      </c>
      <c r="Z98" s="213">
        <f>INDEX($A$94:$H$106,MATCH($L98,$B$94:$B$106,0),MATCH($M$93,$A$94:$H$94,0))*고양시_Modal_split!P$3 * 0.01</f>
        <v>3189.6771853224232</v>
      </c>
      <c r="AA98" s="213">
        <f>INDEX($A$94:$H$106,MATCH($L98,$B$94:$B$106,0),MATCH($AA$93,$A$94:$H$94,0))*고양시_Modal_split!C$4 * 0.01</f>
        <v>7026.8750258249011</v>
      </c>
      <c r="AB98" s="213">
        <f>INDEX($A$94:$H$106,MATCH($L98,$B$94:$B$106,0),MATCH($AA$93,$A$94:$H$94,0))*고양시_Modal_split!D$4 * 0.01</f>
        <v>7403.1498711630938</v>
      </c>
      <c r="AC98" s="213">
        <f>INDEX($A$94:$H$106,MATCH($L98,$B$94:$B$106,0),MATCH($AA$93,$A$94:$H$94,0))*고양시_Modal_split!E$4 * 0.01</f>
        <v>1793.6537105998516</v>
      </c>
      <c r="AD98" s="213">
        <f>INDEX($A$94:$H$106,MATCH($L98,$B$94:$B$106,0),MATCH($AA$93,$A$94:$H$94,0))*고양시_Modal_split!F$4 * 0.01</f>
        <v>219.30129022778107</v>
      </c>
      <c r="AE98" s="213">
        <f>INDEX($A$94:$H$106,MATCH($L98,$B$94:$B$106,0),MATCH($AA$93,$A$94:$H$94,0))*고양시_Modal_split!G$4 * 0.01</f>
        <v>2703.1769563866483</v>
      </c>
      <c r="AF98" s="213">
        <f>INDEX($A$94:$H$106,MATCH($L98,$B$94:$B$106,0),MATCH($AA$93,$A$94:$H$94,0))*고양시_Modal_split!H$4 * 0.01</f>
        <v>0</v>
      </c>
      <c r="AG98" s="213">
        <f>INDEX($A$94:$H$106,MATCH($L98,$B$94:$B$106,0),MATCH($AA$93,$A$94:$H$94,0))*고양시_Modal_split!I$4 * 0.01</f>
        <v>803.3352526238715</v>
      </c>
      <c r="AH98" s="213">
        <f>INDEX($A$94:$H$106,MATCH($L98,$B$94:$B$106,0),MATCH($AA$93,$A$94:$H$94,0))*고양시_Modal_split!J$4 * 0.01</f>
        <v>1087.2727126029986</v>
      </c>
      <c r="AI98" s="213">
        <f>INDEX($A$94:$H$106,MATCH($L98,$B$94:$B$106,0),MATCH($AA$93,$A$94:$H$94,0))*고양시_Modal_split!K$4 * 0.01</f>
        <v>0</v>
      </c>
      <c r="AJ98" s="213">
        <f>INDEX($A$94:$H$106,MATCH($L98,$B$94:$B$106,0),MATCH($AA$93,$A$94:$H$94,0))*고양시_Modal_split!L$4 * 0.01</f>
        <v>1066.4968008972091</v>
      </c>
      <c r="AK98" s="213">
        <f>INDEX($A$94:$H$106,MATCH($L98,$B$94:$B$106,0),MATCH($AA$93,$A$94:$H$94,0))*고양시_Modal_split!M$4 * 0.01</f>
        <v>154.66512047643508</v>
      </c>
      <c r="AL98" s="213">
        <f>INDEX($A$94:$H$106,MATCH($L98,$B$94:$B$106,0),MATCH($AA$93,$A$94:$H$94,0))*고양시_Modal_split!N$4 * 0.01</f>
        <v>577.10865849416075</v>
      </c>
      <c r="AM98" s="213">
        <f>INDEX($A$94:$H$106,MATCH($L98,$B$94:$B$106,0),MATCH($AA$93,$A$94:$H$94,0))*고양시_Modal_split!O$4 * 0.01</f>
        <v>249.31094046947743</v>
      </c>
      <c r="AN98" s="213">
        <f>INDEX($A$94:$H$106,MATCH($L98,$B$94:$B$106,0),MATCH($AA$93,$A$94:$H$94,0))*고양시_Modal_split!P$4 * 0.01</f>
        <v>23084.346339766427</v>
      </c>
      <c r="AO98" s="213">
        <f>INDEX($A$94:$H$106,MATCH($L98,$B$94:$B$106,0),MATCH($AO$93,$A$94:$H$94,0))*고양시_Modal_split!C$5 * 0.01</f>
        <v>0.79457508657423059</v>
      </c>
      <c r="AP98" s="213">
        <f>INDEX($A$94:$H$106,MATCH($L98,$B$94:$B$106,0),MATCH($AO$93,$A$94:$H$94,0))*고양시_Modal_split!D$5 * 0.01</f>
        <v>970.44103906932696</v>
      </c>
      <c r="AQ98" s="213">
        <f>INDEX($A$94:$H$106,MATCH($L98,$B$94:$B$106,0),MATCH($AO$93,$A$94:$H$94,0))*고양시_Modal_split!E$5 * 0.01</f>
        <v>130.44274337926953</v>
      </c>
      <c r="AR98" s="213">
        <f>INDEX($A$94:$H$106,MATCH($L98,$B$94:$B$106,0),MATCH($AO$93,$A$94:$H$94,0))*고양시_Modal_split!F$5 * 0.01</f>
        <v>27.81012803009807</v>
      </c>
      <c r="AS98" s="213">
        <f>INDEX($A$94:$H$106,MATCH($L98,$B$94:$B$106,0),MATCH($AO$93,$A$94:$H$94,0))*고양시_Modal_split!G$5 * 0.01</f>
        <v>8.6078967712208314</v>
      </c>
      <c r="AT98" s="213">
        <f>INDEX($A$94:$H$106,MATCH($L98,$B$94:$B$106,0),MATCH($AO$93,$A$94:$H$94,0))*고양시_Modal_split!H$5 * 0.01</f>
        <v>0.9270042676699356</v>
      </c>
      <c r="AU98" s="213">
        <f>INDEX($A$94:$H$106,MATCH($L98,$B$94:$B$106,0),MATCH($AO$93,$A$94:$H$94,0))*고양시_Modal_split!I$5 * 0.01</f>
        <v>36.682883163510319</v>
      </c>
      <c r="AV98" s="213">
        <f>INDEX($A$94:$H$106,MATCH($L98,$B$94:$B$106,0),MATCH($AO$93,$A$94:$H$94,0))*고양시_Modal_split!J$5 * 0.01</f>
        <v>83.033096547007105</v>
      </c>
      <c r="AW98" s="213">
        <f>INDEX($A$94:$H$106,MATCH($L98,$B$94:$B$106,0),MATCH($AO$93,$A$94:$H$94,0))*고양시_Modal_split!K$5 * 0.01</f>
        <v>0.26485836219141023</v>
      </c>
      <c r="AX98" s="213">
        <f>INDEX($A$94:$H$106,MATCH($L98,$B$94:$B$106,0),MATCH($AO$93,$A$94:$H$94,0))*고양시_Modal_split!L$5 * 0.01</f>
        <v>33.769441179404801</v>
      </c>
      <c r="AY98" s="213">
        <f>INDEX($A$94:$H$106,MATCH($L98,$B$94:$B$106,0),MATCH($AO$93,$A$94:$H$94,0))*고양시_Modal_split!M$5 * 0.01</f>
        <v>8.8727551334122428</v>
      </c>
      <c r="AZ98" s="213">
        <f>INDEX($A$94:$H$106,MATCH($L98,$B$94:$B$106,0),MATCH($AO$93,$A$94:$H$94,0))*고양시_Modal_split!N$5 * 0.01</f>
        <v>2.2512960786269862</v>
      </c>
      <c r="BA98" s="213">
        <f>INDEX($A$94:$H$106,MATCH($L98,$B$94:$B$106,0),MATCH($AO$93,$A$94:$H$94,0))*고양시_Modal_split!O$5 * 0.01</f>
        <v>20.394093888738585</v>
      </c>
      <c r="BB98" s="213">
        <f>INDEX($A$94:$H$106,MATCH($L98,$B$94:$B$106,0),MATCH($AO$93,$A$94:$H$94,0))*고양시_Modal_split!P$5 * 0.01</f>
        <v>1324.2918109570508</v>
      </c>
      <c r="BC98" s="213">
        <f>INDEX($A$94:$H$106,MATCH($L98,$B$94:$B$106,0),MATCH($BC$93,$A$94:$H$94,0))*고양시_Modal_split!C$6 * 0.01</f>
        <v>0</v>
      </c>
      <c r="BD98" s="207">
        <f>INDEX($A$94:$H$106,MATCH($L98,$B$94:$B$106,0),MATCH($BC$93,$A$94:$H$94,0))*고양시_Modal_split!D$6 * 0.01</f>
        <v>1.7233829994555334</v>
      </c>
      <c r="BE98" s="207">
        <f>INDEX($A$94:$H$106,MATCH($L98,$B$94:$B$106,0),MATCH($BC$93,$A$94:$H$94,0))*고양시_Modal_split!E$6 * 0.01</f>
        <v>8.94885508713778E-3</v>
      </c>
      <c r="BF98" s="207">
        <f>INDEX($A$94:$H$106,MATCH($L98,$B$94:$B$106,0),MATCH($BC$93,$A$94:$H$94,0))*고양시_Modal_split!F$6 * 0.01</f>
        <v>2.5389774898390907E-2</v>
      </c>
      <c r="BG98" s="207">
        <f>INDEX($A$94:$H$106,MATCH($L98,$B$94:$B$106,0),MATCH($BC$93,$A$94:$H$94,0))*고양시_Modal_split!G$6 * 0.01</f>
        <v>0</v>
      </c>
      <c r="BH98" s="207">
        <f>INDEX($A$94:$H$106,MATCH($L98,$B$94:$B$106,0),MATCH($BC$93,$A$94:$H$94,0))*고양시_Modal_split!H$6 * 0.01</f>
        <v>0.11050795468070142</v>
      </c>
      <c r="BI98" s="207">
        <f>INDEX($A$94:$H$106,MATCH($L98,$B$94:$B$106,0),MATCH($BC$93,$A$94:$H$94,0))*고양시_Modal_split!I$6 * 0.01</f>
        <v>7.3671969787134278E-2</v>
      </c>
      <c r="BJ98" s="207">
        <f>INDEX($A$94:$H$106,MATCH($L98,$B$94:$B$106,0),MATCH($BC$93,$A$94:$H$94,0))*고양시_Modal_split!J$6 * 0.01</f>
        <v>0.10280777704758284</v>
      </c>
      <c r="BK98" s="207">
        <f>INDEX($A$94:$H$106,MATCH($L98,$B$94:$B$106,0),MATCH($BC$93,$A$94:$H$94,0))*고양시_Modal_split!K$6 * 0.01</f>
        <v>0</v>
      </c>
      <c r="BL98" s="207">
        <f>INDEX($A$94:$H$106,MATCH($L98,$B$94:$B$106,0),MATCH($BC$93,$A$94:$H$94,0))*고양시_Modal_split!L$6 * 0.01</f>
        <v>1.5816581084243518E-2</v>
      </c>
      <c r="BM98" s="207">
        <f>INDEX($A$94:$H$106,MATCH($L98,$B$94:$B$106,0),MATCH($BC$93,$A$94:$H$94,0))*고양시_Modal_split!M$6 * 0.01</f>
        <v>1.8938274719291579E-2</v>
      </c>
      <c r="BN98" s="207">
        <f>INDEX($A$94:$H$106,MATCH($L98,$B$94:$B$106,0),MATCH($BC$93,$A$94:$H$94,0))*고양시_Modal_split!N$6 * 0.01</f>
        <v>0</v>
      </c>
      <c r="BO98" s="207">
        <f>INDEX($A$94:$H$106,MATCH($L98,$B$94:$B$106,0),MATCH($BC$93,$A$94:$H$94,0))*고양시_Modal_split!O$6 * 0.01</f>
        <v>1.6649032720256333E-3</v>
      </c>
      <c r="BP98" s="214">
        <f>INDEX($A$94:$H$106,MATCH($L98,$B$94:$B$106,0),MATCH($BC$93,$A$94:$H$94,0))*고양시_Modal_split!P$6 * 0.01</f>
        <v>2.0811290900320416</v>
      </c>
      <c r="BQ98" s="213">
        <f>INDEX($A$94:$H$106,MATCH($L98,$B$94:$B$106,0),MATCH($BQ$93,$A$94:$H$94,0))*고양시_Modal_split!C$7 * 0.01</f>
        <v>0</v>
      </c>
      <c r="BR98" s="213">
        <f>INDEX($A$94:$H$106,MATCH($L98,$B$94:$B$106,0),MATCH($BQ$93,$A$94:$H$94,0))*고양시_Modal_split!D$7 * 0.01</f>
        <v>4.8178600907372706</v>
      </c>
      <c r="BS98" s="213">
        <f>INDEX($A$94:$H$106,MATCH($L98,$B$94:$B$106,0),MATCH($BQ$93,$A$94:$H$94,0))*고양시_Modal_split!E$7 * 0.01</f>
        <v>0.2350750925473962</v>
      </c>
      <c r="BT98" s="213">
        <f>INDEX($A$94:$H$106,MATCH($L98,$B$94:$B$106,0),MATCH($BQ$93,$A$94:$H$94,0))*고양시_Modal_split!F$7 * 0.01</f>
        <v>7.8620432290099074E-2</v>
      </c>
      <c r="BU98" s="213">
        <f>INDEX($A$94:$H$106,MATCH($L98,$B$94:$B$106,0),MATCH($BQ$93,$A$94:$H$94,0))*고양시_Modal_split!G$7 * 0.01</f>
        <v>3.3020581561841608E-2</v>
      </c>
      <c r="BV98" s="213">
        <f>INDEX($A$94:$H$106,MATCH($L98,$B$94:$B$106,0),MATCH($BQ$93,$A$94:$H$94,0))*고양시_Modal_split!H$7 * 0.01</f>
        <v>0.43948821650165382</v>
      </c>
      <c r="BW98" s="213">
        <f>INDEX($A$94:$H$106,MATCH($L98,$B$94:$B$106,0),MATCH($BQ$93,$A$94:$H$94,0))*고양시_Modal_split!I$7 * 0.01</f>
        <v>1.4678434708561496</v>
      </c>
      <c r="BX98" s="213">
        <f>INDEX($A$94:$H$106,MATCH($L98,$B$94:$B$106,0),MATCH($BQ$93,$A$94:$H$94,0))*고양시_Modal_split!J$7 * 0.01</f>
        <v>1.5724086458019815E-3</v>
      </c>
      <c r="BY98" s="213">
        <f>INDEX($A$94:$H$106,MATCH($L98,$B$94:$B$106,0),MATCH($BQ$93,$A$94:$H$94,0))*고양시_Modal_split!K$7 * 0.01</f>
        <v>0.60537732863376281</v>
      </c>
      <c r="BZ98" s="213">
        <f>INDEX($A$94:$H$106,MATCH($L98,$B$94:$B$106,0),MATCH($BQ$93,$A$94:$H$94,0))*고양시_Modal_split!L$7 * 0.01</f>
        <v>5.5034302603069341E-3</v>
      </c>
      <c r="CA98" s="213">
        <f>INDEX($A$94:$H$106,MATCH($L98,$B$94:$B$106,0),MATCH($BQ$93,$A$94:$H$94,0))*고양시_Modal_split!M$7 * 0.01</f>
        <v>0.14702020838248528</v>
      </c>
      <c r="CB98" s="213">
        <f>INDEX($A$94:$H$106,MATCH($L98,$B$94:$B$106,0),MATCH($BQ$93,$A$94:$H$94,0))*고양시_Modal_split!N$7 * 0.01</f>
        <v>3.0661968593138633E-2</v>
      </c>
      <c r="CC98" s="213">
        <f>INDEX($A$94:$H$106,MATCH($L98,$B$94:$B$106,0),MATCH($BQ$93,$A$94:$H$94,0))*고양시_Modal_split!O$7 * 0.01</f>
        <v>0</v>
      </c>
      <c r="CD98" s="213">
        <f>INDEX($A$94:$H$106,MATCH($L98,$B$94:$B$106,0),MATCH($BQ$93,$A$94:$H$94,0))*고양시_Modal_split!P$7 * 0.01</f>
        <v>7.8620432290099078</v>
      </c>
      <c r="CE98" s="218">
        <f t="shared" si="58"/>
        <v>7036.6006970303779</v>
      </c>
      <c r="CF98" s="208">
        <f t="shared" si="39"/>
        <v>9880.2373335797474</v>
      </c>
      <c r="CG98" s="208">
        <f t="shared" si="40"/>
        <v>2105.8331097716014</v>
      </c>
      <c r="CH98" s="208">
        <f t="shared" si="41"/>
        <v>539.70882635913381</v>
      </c>
      <c r="CI98" s="208">
        <f t="shared" si="42"/>
        <v>2741.1629038443971</v>
      </c>
      <c r="CJ98" s="208">
        <f t="shared" si="43"/>
        <v>1.7959681573845332</v>
      </c>
      <c r="CK98" s="208">
        <f t="shared" si="44"/>
        <v>930.23267697998836</v>
      </c>
      <c r="CL98" s="208">
        <f t="shared" si="45"/>
        <v>2141.3479245478443</v>
      </c>
      <c r="CM98" s="208">
        <f t="shared" si="46"/>
        <v>5.654751468808807</v>
      </c>
      <c r="CN98" s="208">
        <f t="shared" si="47"/>
        <v>1196.6158130846954</v>
      </c>
      <c r="CO98" s="208">
        <f t="shared" si="48"/>
        <v>171.04009161919069</v>
      </c>
      <c r="CP98" s="208">
        <f t="shared" si="49"/>
        <v>582.5802937267033</v>
      </c>
      <c r="CQ98" s="208">
        <f t="shared" si="50"/>
        <v>275.44811819506839</v>
      </c>
      <c r="CR98" s="219">
        <f t="shared" si="51"/>
        <v>27608.258508364939</v>
      </c>
      <c r="CS98" s="225">
        <f t="shared" si="59"/>
        <v>0</v>
      </c>
      <c r="CV98" s="265"/>
      <c r="CW98" s="266" t="s">
        <v>15</v>
      </c>
      <c r="CX98" s="267">
        <f>INDEX($M$93:$Z$106,MATCH($CW98,$L$93:$L$106,0),MATCH(CX$94,$M$94:$Z$94,0))/INDEX(고양시_재차인원!$D$4:$H$35,MATCH("고양시",고양시_재차인원!$B$4:$B$35,0),MATCH('A.일산테크노밸리(859991)_수정'!$CX$93,고양시_재차인원!$D$4:$H$4,0))</f>
        <v>1339.3796252295849</v>
      </c>
      <c r="CY98" s="267">
        <f>INDEX($M$93:$Z$106,MATCH($CW98,$L$93:$L$106,0),MATCH(CY$94,$M$94:$Z$94,0))/INDEX(고양시_재차인원!$K$4:$O$20,MATCH("경기도",고양시_재차인원!$K$4:$K$20,0),MATCH('A.일산테크노밸리(859991)_수정'!CY$94,고양시_재차인원!$K$4:$O$4,0))</f>
        <v>1.1079114919494348E-2</v>
      </c>
      <c r="CZ98" s="267">
        <f>INDEX($M$93:$Z$106,MATCH($CW98,$L$93:$L$106,0),MATCH(CZ$94,$M$94:$Z$94,0))/INDEX(고양시_재차인원!$K$4:$O$20,MATCH("경기도",고양시_재차인원!$K$4:$K$20,0),MATCH('A.일산테크노밸리(859991)_수정'!CZ$94,고양시_재차인원!$K$4:$O$4,0))</f>
        <v>3.0799939476194282</v>
      </c>
      <c r="DA98" s="267">
        <f>INDEX($M$93:$Z$106,MATCH($CW98,$L$93:$L$106,0),MATCH(DA$94,$M$94:$Z$94,0))/INDEX(고양시_재차인원!$K$4:$O$20,MATCH("경기도",고양시_재차인원!$K$4:$K$20,0),MATCH('A.일산테크노밸리(859991)_수정'!DA$94,고양시_재차인원!$K$4:$O$4,0))</f>
        <v>64.218833997824774</v>
      </c>
      <c r="DB98" s="268">
        <f>INDEX($AA$93:$AN$106,MATCH($CW98,$L$93:$L$106,0),MATCH(DB$94,$AA$94:$AN$94,0))/INDEX(고양시_재차인원!$D$4:$H$35,MATCH("고양시",고양시_재차인원!$B$4:$B$35,0),MATCH('A.일산테크노밸리(859991)_수정'!$DB$93,고양시_재차인원!$D$4:$H$4,0))</f>
        <v>5250.4609015341093</v>
      </c>
      <c r="DC98" s="267">
        <f>INDEX($AA$93:$AN$106,MATCH($CW98,$L$93:$L$106,0),MATCH(DC$94,$AA$94:$AN$94,0))/INDEX(고양시_재차인원!$K$4:$O$20,MATCH("경기도",고양시_재차인원!$K$4:$K$20,0),MATCH('A.일산테크노밸리(859991)_수정'!DC$94,고양시_재차인원!$K$4:$O$4,0))</f>
        <v>0</v>
      </c>
      <c r="DD98" s="267">
        <f>INDEX($AA$93:$AN$106,MATCH($CW98,$L$93:$L$106,0),MATCH(DD$94,$AA$94:$AN$94,0))/INDEX(고양시_재차인원!$K$4:$O$20,MATCH("경기도",고양시_재차인원!$K$4:$K$20,0),MATCH('A.일산테크노밸리(859991)_수정'!DD$94,고양시_재차인원!$K$4:$O$4,0))</f>
        <v>27.903273797286264</v>
      </c>
      <c r="DE98" s="267">
        <f>INDEX($AA$93:$AN$106,MATCH($CW98,$L$93:$L$106,0),MATCH(DE$94,$AA$94:$AN$94,0))/INDEX(고양시_재차인원!$K$4:$O$20,MATCH("경기도",고양시_재차인원!$K$4:$K$20,0),MATCH('A.일산테크노밸리(859991)_수정'!DE$94,고양시_재차인원!$K$4:$O$4,0))</f>
        <v>710.99786726480613</v>
      </c>
      <c r="DF98" s="268">
        <f>INDEX($AO$93:$BB$106,MATCH($CW98,$L$93:$L$106,0),MATCH(DF$94,$AO$94:$BB$94,0))/INDEX(고양시_재차인원!$D$4:$H$35,MATCH("고양시",고양시_재차인원!$B$4:$B$35,0),MATCH('A.일산테크노밸리(859991)_수정'!$DF$93,고양시_재차인원!$D$4:$H$4,0))</f>
        <v>746.49310697640533</v>
      </c>
      <c r="DG98" s="267">
        <f>INDEX($AO$93:$BB$106,MATCH($CW98,$L$93:$L$106,0),MATCH(DG$94,$AO$94:$BB$94,0))/INDEX(고양시_재차인원!$K$4:$O$20,MATCH("경기도",고양시_재차인원!$K$4:$K$20,0),MATCH('A.일산테크노밸리(859991)_수정'!DG$94,고양시_재차인원!$K$4:$O$4,0))</f>
        <v>3.2198828331710165E-2</v>
      </c>
      <c r="DH98" s="267">
        <f>INDEX($AO$93:$BB$106,MATCH($CW98,$L$93:$L$106,0),MATCH(DH$94,$AO$94:$BB$94,0))/INDEX(고양시_재차인원!$K$4:$O$20,MATCH("경기도",고양시_재차인원!$K$4:$K$20,0),MATCH('A.일산테크노밸리(859991)_수정'!DH$94,고양시_재차인원!$K$4:$O$4,0))</f>
        <v>1.2741536354119596</v>
      </c>
      <c r="DI98" s="267">
        <f>INDEX($AO$93:$BB$106,MATCH($CW98,$L$93:$L$106,0),MATCH(DI$94,$AO$94:$BB$94,0))/INDEX(고양시_재차인원!$K$4:$O$20,MATCH("경기도",고양시_재차인원!$K$4:$K$20,0),MATCH('A.일산테크노밸리(859991)_수정'!DI$94,고양시_재차인원!$K$4:$O$4,0))</f>
        <v>22.512960786269868</v>
      </c>
      <c r="DJ98" s="268">
        <f>INDEX($BC$93:$BP$106,MATCH($CW98,$L$93:$L$106,0),MATCH(DJ$94,$BC$94:$BP$94,0))/INDEX(고양시_재차인원!$D$4:$H$35,MATCH("고양시",고양시_재차인원!$B$4:$B$35,0),MATCH('A.일산테크노밸리(859991)_수정'!$DJ$93,고양시_재차인원!$D$4:$H$4,0))</f>
        <v>1.267193381952598</v>
      </c>
      <c r="DK98" s="267">
        <f>INDEX($BC$93:$BP$106,MATCH($CW98,$L$93:$L$106,0),MATCH(DK$94,$BC$94:$BP$94,0))/INDEX(고양시_재차인원!$K$4:$O$20,MATCH("경기도",고양시_재차인원!$K$4:$K$20,0),MATCH('A.일산테크노밸리(859991)_수정'!DK$94,고양시_재차인원!$K$4:$O$4,0))</f>
        <v>3.8384145425738596E-3</v>
      </c>
      <c r="DL98" s="267">
        <f>INDEX($BC$93:$BP$106,MATCH($CW98,$L$93:$L$106,0),MATCH(DL$94,$BC$94:$BP$94,0))/INDEX(고양시_재차인원!$K$4:$O$20,MATCH("경기도",고양시_재차인원!$K$4:$K$20,0),MATCH('A.일산테크노밸리(859991)_수정'!DL$94,고양시_재차인원!$K$4:$O$4,0))</f>
        <v>2.5589430283825729E-3</v>
      </c>
      <c r="DM98" s="267">
        <f>INDEX($BC$93:$BP$106,MATCH($CW98,$L$93:$L$106,0),MATCH(DM$94,$BC$94:$BP$94,0))/INDEX(고양시_재차인원!$K$4:$O$20,MATCH("경기도",고양시_재차인원!$K$4:$K$20,0),MATCH('A.일산테크노밸리(859991)_수정'!DM$94,고양시_재차인원!$K$4:$O$4,0))</f>
        <v>1.0544387389495679E-2</v>
      </c>
      <c r="DN98" s="268">
        <f>INDEX($BQ$93:$CD$106,MATCH($CW98,$L$93:$L$106,0),MATCH(DN$94,$BQ$94:$CD$94,0))/INDEX(고양시_재차인원!$D$4:$H$35,MATCH("고양시",고양시_재차인원!$B$4:$B$35,0),MATCH('A.일산테크노밸리(859991)_수정'!$DN$93,고양시_재차인원!$D$4:$H$4,0))</f>
        <v>3.8236984847121196</v>
      </c>
      <c r="DO98" s="267">
        <f>INDEX($BQ$93:$CD$106,MATCH($CW98,$L$93:$L$106,0),MATCH(DO$94,$BQ$94:$CD$94,0))/INDEX(고양시_재차인원!$K$4:$O$20,MATCH("경기도",고양시_재차인원!$K$4:$K$20,0),MATCH('A.일산테크노밸리(859991)_수정'!DO$94,고양시_재차인원!$K$4:$O$4,0))</f>
        <v>1.5265307971575333E-2</v>
      </c>
      <c r="DP98" s="267">
        <f>INDEX($BQ$93:$CD$106,MATCH($CW98,$L$93:$L$106,0),MATCH(DP$94,$BQ$94:$CD$94,0))/INDEX(고양시_재차인원!$K$4:$O$20,MATCH("경기도",고양시_재차인원!$K$4:$K$20,0),MATCH('A.일산테크노밸리(859991)_수정'!DP$94,고양시_재차인원!$K$4:$O$4,0))</f>
        <v>5.0984490130467165E-2</v>
      </c>
      <c r="DQ98" s="267">
        <f>INDEX($BQ$93:$CD$106,MATCH($CW98,$L$93:$L$106,0),MATCH(DQ$94,$BQ$94:$CD$94,0))/INDEX(고양시_재차인원!$K$4:$O$20,MATCH("경기도",고양시_재차인원!$K$4:$K$20,0),MATCH('A.일산테크노밸리(859991)_수정'!DQ$94,고양시_재차인원!$K$4:$O$4,0))</f>
        <v>3.6689535068712893E-3</v>
      </c>
      <c r="DR98" s="269">
        <f t="shared" si="60"/>
        <v>7341.4245256067643</v>
      </c>
      <c r="DS98" s="270">
        <f t="shared" si="52"/>
        <v>6.2381665765353707E-2</v>
      </c>
      <c r="DT98" s="270">
        <f t="shared" si="53"/>
        <v>32.310964813476502</v>
      </c>
      <c r="DU98" s="270">
        <f t="shared" si="54"/>
        <v>797.74387538979715</v>
      </c>
      <c r="DW98" s="278"/>
      <c r="DX98" s="278" t="s">
        <v>594</v>
      </c>
      <c r="DY98" s="281">
        <f t="shared" si="61"/>
        <v>8139.1684009965611</v>
      </c>
      <c r="DZ98" s="281">
        <f t="shared" si="62"/>
        <v>32.373346479241853</v>
      </c>
      <c r="EC98" s="412" t="s">
        <v>14</v>
      </c>
      <c r="ED98" s="412" t="s">
        <v>79</v>
      </c>
      <c r="EE98" s="412">
        <v>7192.9411</v>
      </c>
      <c r="EF98" s="412">
        <v>0.56870722672698226</v>
      </c>
      <c r="EG98" s="413">
        <v>859005</v>
      </c>
      <c r="EH98" s="414">
        <f t="shared" si="55"/>
        <v>159.36828013053628</v>
      </c>
      <c r="EI98" s="415">
        <f t="shared" si="56"/>
        <v>0.63388349967485924</v>
      </c>
      <c r="EJ98" s="402">
        <v>0</v>
      </c>
      <c r="EM98" s="278" t="s">
        <v>14</v>
      </c>
      <c r="EN98" s="278" t="s">
        <v>79</v>
      </c>
      <c r="EO98" s="278">
        <v>7192.9411</v>
      </c>
      <c r="EP98" s="278">
        <v>0.56870722672698226</v>
      </c>
      <c r="EQ98" s="289">
        <v>859005</v>
      </c>
      <c r="ER98" s="290">
        <f t="shared" si="37"/>
        <v>159.36828013053628</v>
      </c>
      <c r="ES98" s="291">
        <f t="shared" si="38"/>
        <v>0.63388349967485924</v>
      </c>
      <c r="ET98" s="402">
        <v>0</v>
      </c>
      <c r="EV98" s="34"/>
      <c r="EW98" s="34"/>
      <c r="EX98" s="34"/>
      <c r="EY98" s="34"/>
      <c r="EZ98" s="378"/>
      <c r="FA98" s="401"/>
      <c r="FB98" s="402"/>
      <c r="FC98" s="402"/>
    </row>
    <row r="99" spans="1:159" ht="17" customHeight="1">
      <c r="A99" s="205"/>
      <c r="B99" s="205" t="s">
        <v>16</v>
      </c>
      <c r="C99" s="400">
        <f>'A.일산테크노밸리(859991)_수정'!$P32*KTDB_TripDistribution_2040!T$12 * (1+KTDB_발생량도착량_증가율!$D$8 *5) * (1+KTDB_발생량도착량_증가율!$E$8 *5) * (1+KTDB_발생량도착량_증가율!$F$8 *5)</f>
        <v>345.72155240644315</v>
      </c>
      <c r="D99" s="400">
        <f>'A.일산테크노밸리(859991)_수정'!$P32*KTDB_TripDistribution_2040!U$12 * (1+KTDB_발생량도착량_증가율!$D$8 *5) * (1+KTDB_발생량도착량_증가율!$E$8 *5) * (1+KTDB_발생량도착량_증가율!$F$8 *5)</f>
        <v>2502.0576030691091</v>
      </c>
      <c r="E99" s="400">
        <f>'A.일산테크노밸리(859991)_수정'!$P32*KTDB_TripDistribution_2040!V$12 * (1+KTDB_발생량도착량_증가율!$D$8 *5) * (1+KTDB_발생량도착량_증가율!$E$8 *5) * (1+KTDB_발생량도착량_증가율!$F$8 *5)</f>
        <v>143.53685157544624</v>
      </c>
      <c r="F99" s="400">
        <f>'A.일산테크노밸리(859991)_수정'!$P32*KTDB_TripDistribution_2040!W$12 * (1+KTDB_발생량도착량_증가율!$D$8 *5) * (1+KTDB_발생량도착량_증가율!$E$8 *5) * (1+KTDB_발생량도착량_증가율!$F$8 *5)</f>
        <v>0.22556865098289161</v>
      </c>
      <c r="G99" s="400">
        <f>'A.일산테크노밸리(859991)_수정'!$P32*KTDB_TripDistribution_2040!X$12 * (1+KTDB_발생량도착량_증가율!$D$8 *5) * (1+KTDB_발생량도착량_증가율!$E$8 *5) * (1+KTDB_발생량도착량_증가율!$F$8 *5)</f>
        <v>0.85214823704647669</v>
      </c>
      <c r="H99" s="400">
        <f>'A.일산테크노밸리(859991)_수정'!$P32*KTDB_TripDistribution_2040!Y$12 * (1+KTDB_발생량도착량_증가율!$D$8 *5) * (1+KTDB_발생량도착량_증가율!$E$8 *5) * (1+KTDB_발생량도착량_증가율!$F$8 *5)</f>
        <v>2992.3937239390284</v>
      </c>
      <c r="J99" s="230">
        <f t="shared" si="57"/>
        <v>2992.393723939028</v>
      </c>
      <c r="K99" s="206"/>
      <c r="L99" s="209" t="s">
        <v>16</v>
      </c>
      <c r="M99" s="213">
        <f>INDEX($A$94:$H$106,MATCH($L99,$B$94:$B$106,0),MATCH($M$93,$A$94:$H$94,0))*고양시_Modal_split!C$3 * 0.01</f>
        <v>0.96802034673804072</v>
      </c>
      <c r="N99" s="213">
        <f>INDEX($A$94:$H$106,MATCH($L99,$B$94:$B$106,0),MATCH($M$93,$A$94:$H$94,0))*고양시_Modal_split!D$3 * 0.01</f>
        <v>162.59284609675021</v>
      </c>
      <c r="O99" s="213">
        <f>INDEX($A$94:$H$106,MATCH($L99,$B$94:$B$106,0),MATCH($M$93,$A$94:$H$94,0))*고양시_Modal_split!E$3 * 0.01</f>
        <v>19.671556331926613</v>
      </c>
      <c r="P99" s="213">
        <f>INDEX($A$94:$H$106,MATCH($L99,$B$94:$B$106,0),MATCH($M$93,$A$94:$H$94,0))*고양시_Modal_split!F$3 * 0.01</f>
        <v>31.702666355670836</v>
      </c>
      <c r="Q99" s="213">
        <f>INDEX($A$94:$H$106,MATCH($L99,$B$94:$B$106,0),MATCH($M$93,$A$94:$H$94,0))*고양시_Modal_split!G$3 * 0.01</f>
        <v>3.1806382821392765</v>
      </c>
      <c r="R99" s="213">
        <f>INDEX($A$94:$H$106,MATCH($L99,$B$94:$B$106,0),MATCH($M$93,$A$94:$H$94,0))*고양시_Modal_split!H$3 * 0.01</f>
        <v>3.4572155240644317E-2</v>
      </c>
      <c r="S99" s="213">
        <f>INDEX($A$94:$H$106,MATCH($L99,$B$94:$B$106,0),MATCH($M$93,$A$94:$H$94,0))*고양시_Modal_split!I$3 * 0.01</f>
        <v>9.6110591568991186</v>
      </c>
      <c r="T99" s="213">
        <f>INDEX($A$94:$H$106,MATCH($L99,$B$94:$B$106,0),MATCH($M$93,$A$94:$H$94,0))*고양시_Modal_split!J$3 * 0.01</f>
        <v>105.2376405525213</v>
      </c>
      <c r="U99" s="213">
        <f>INDEX($A$94:$H$106,MATCH($L99,$B$94:$B$106,0),MATCH($M$93,$A$94:$H$94,0))*고양시_Modal_split!K$3 * 0.01</f>
        <v>0.5185823286096648</v>
      </c>
      <c r="V99" s="213">
        <f>INDEX($A$94:$H$106,MATCH($L99,$B$94:$B$106,0),MATCH($M$93,$A$94:$H$94,0))*고양시_Modal_split!L$3 * 0.01</f>
        <v>10.440790882674582</v>
      </c>
      <c r="W99" s="213">
        <f>INDEX($A$94:$H$106,MATCH($L99,$B$94:$B$106,0),MATCH($M$93,$A$94:$H$94,0))*고양시_Modal_split!M$3 * 0.01</f>
        <v>0.79515957053481912</v>
      </c>
      <c r="X99" s="213">
        <f>INDEX($A$94:$H$106,MATCH($L99,$B$94:$B$106,0),MATCH($M$93,$A$94:$H$94,0))*고양시_Modal_split!N$3 * 0.01</f>
        <v>0.34572155240644314</v>
      </c>
      <c r="Y99" s="213">
        <f>INDEX($A$94:$H$106,MATCH($L99,$B$94:$B$106,0),MATCH($M$93,$A$94:$H$94,0))*고양시_Modal_split!O$3 * 0.01</f>
        <v>0.62229879433159763</v>
      </c>
      <c r="Z99" s="213">
        <f>INDEX($A$94:$H$106,MATCH($L99,$B$94:$B$106,0),MATCH($M$93,$A$94:$H$94,0))*고양시_Modal_split!P$3 * 0.01</f>
        <v>345.72155240644315</v>
      </c>
      <c r="AA99" s="213">
        <f>INDEX($A$94:$H$106,MATCH($L99,$B$94:$B$106,0),MATCH($AA$93,$A$94:$H$94,0))*고양시_Modal_split!C$4 * 0.01</f>
        <v>761.62633437423688</v>
      </c>
      <c r="AB99" s="213">
        <f>INDEX($A$94:$H$106,MATCH($L99,$B$94:$B$106,0),MATCH($AA$93,$A$94:$H$94,0))*고양시_Modal_split!D$4 * 0.01</f>
        <v>802.40987330426333</v>
      </c>
      <c r="AC99" s="213">
        <f>INDEX($A$94:$H$106,MATCH($L99,$B$94:$B$106,0),MATCH($AA$93,$A$94:$H$94,0))*고양시_Modal_split!E$4 * 0.01</f>
        <v>194.40987575846978</v>
      </c>
      <c r="AD99" s="213">
        <f>INDEX($A$94:$H$106,MATCH($L99,$B$94:$B$106,0),MATCH($AA$93,$A$94:$H$94,0))*고양시_Modal_split!F$4 * 0.01</f>
        <v>23.769547229156533</v>
      </c>
      <c r="AE99" s="213">
        <f>INDEX($A$94:$H$106,MATCH($L99,$B$94:$B$106,0),MATCH($AA$93,$A$94:$H$94,0))*고양시_Modal_split!G$4 * 0.01</f>
        <v>292.99094531939267</v>
      </c>
      <c r="AF99" s="213">
        <f>INDEX($A$94:$H$106,MATCH($L99,$B$94:$B$106,0),MATCH($AA$93,$A$94:$H$94,0))*고양시_Modal_split!H$4 * 0.01</f>
        <v>0</v>
      </c>
      <c r="AG99" s="213">
        <f>INDEX($A$94:$H$106,MATCH($L99,$B$94:$B$106,0),MATCH($AA$93,$A$94:$H$94,0))*고양시_Modal_split!I$4 * 0.01</f>
        <v>87.071604586804995</v>
      </c>
      <c r="AH99" s="213">
        <f>INDEX($A$94:$H$106,MATCH($L99,$B$94:$B$106,0),MATCH($AA$93,$A$94:$H$94,0))*고양시_Modal_split!J$4 * 0.01</f>
        <v>117.84691310455504</v>
      </c>
      <c r="AI99" s="213">
        <f>INDEX($A$94:$H$106,MATCH($L99,$B$94:$B$106,0),MATCH($AA$93,$A$94:$H$94,0))*고양시_Modal_split!K$4 * 0.01</f>
        <v>0</v>
      </c>
      <c r="AJ99" s="213">
        <f>INDEX($A$94:$H$106,MATCH($L99,$B$94:$B$106,0),MATCH($AA$93,$A$94:$H$94,0))*고양시_Modal_split!L$4 * 0.01</f>
        <v>115.59506126179284</v>
      </c>
      <c r="AK99" s="213">
        <f>INDEX($A$94:$H$106,MATCH($L99,$B$94:$B$106,0),MATCH($AA$93,$A$94:$H$94,0))*고양시_Modal_split!M$4 * 0.01</f>
        <v>16.763785940563032</v>
      </c>
      <c r="AL99" s="213">
        <f>INDEX($A$94:$H$106,MATCH($L99,$B$94:$B$106,0),MATCH($AA$93,$A$94:$H$94,0))*고양시_Modal_split!N$4 * 0.01</f>
        <v>62.551440076727722</v>
      </c>
      <c r="AM99" s="213">
        <f>INDEX($A$94:$H$106,MATCH($L99,$B$94:$B$106,0),MATCH($AA$93,$A$94:$H$94,0))*고양시_Modal_split!O$4 * 0.01</f>
        <v>27.02222211314638</v>
      </c>
      <c r="AN99" s="213">
        <f>INDEX($A$94:$H$106,MATCH($L99,$B$94:$B$106,0),MATCH($AA$93,$A$94:$H$94,0))*고양시_Modal_split!P$4 * 0.01</f>
        <v>2502.0576030691091</v>
      </c>
      <c r="AO99" s="213">
        <f>INDEX($A$94:$H$106,MATCH($L99,$B$94:$B$106,0),MATCH($AO$93,$A$94:$H$94,0))*고양시_Modal_split!C$5 * 0.01</f>
        <v>8.6122110945267741E-2</v>
      </c>
      <c r="AP99" s="213">
        <f>INDEX($A$94:$H$106,MATCH($L99,$B$94:$B$106,0),MATCH($AO$93,$A$94:$H$94,0))*고양시_Modal_split!D$5 * 0.01</f>
        <v>105.18380483448701</v>
      </c>
      <c r="AQ99" s="213">
        <f>INDEX($A$94:$H$106,MATCH($L99,$B$94:$B$106,0),MATCH($AO$93,$A$94:$H$94,0))*고양시_Modal_split!E$5 * 0.01</f>
        <v>14.138379880181454</v>
      </c>
      <c r="AR99" s="213">
        <f>INDEX($A$94:$H$106,MATCH($L99,$B$94:$B$106,0),MATCH($AO$93,$A$94:$H$94,0))*고양시_Modal_split!F$5 * 0.01</f>
        <v>3.0142738830843712</v>
      </c>
      <c r="AS99" s="213">
        <f>INDEX($A$94:$H$106,MATCH($L99,$B$94:$B$106,0),MATCH($AO$93,$A$94:$H$94,0))*고양시_Modal_split!G$5 * 0.01</f>
        <v>0.93298953524040062</v>
      </c>
      <c r="AT99" s="213">
        <f>INDEX($A$94:$H$106,MATCH($L99,$B$94:$B$106,0),MATCH($AO$93,$A$94:$H$94,0))*고양시_Modal_split!H$5 * 0.01</f>
        <v>0.10047579610281236</v>
      </c>
      <c r="AU99" s="213">
        <f>INDEX($A$94:$H$106,MATCH($L99,$B$94:$B$106,0),MATCH($AO$93,$A$94:$H$94,0))*고양시_Modal_split!I$5 * 0.01</f>
        <v>3.9759707886398612</v>
      </c>
      <c r="AV99" s="213">
        <f>INDEX($A$94:$H$106,MATCH($L99,$B$94:$B$106,0),MATCH($AO$93,$A$94:$H$94,0))*고양시_Modal_split!J$5 * 0.01</f>
        <v>8.9997605937804792</v>
      </c>
      <c r="AW99" s="213">
        <f>INDEX($A$94:$H$106,MATCH($L99,$B$94:$B$106,0),MATCH($AO$93,$A$94:$H$94,0))*고양시_Modal_split!K$5 * 0.01</f>
        <v>2.8707370315089249E-2</v>
      </c>
      <c r="AX99" s="213">
        <f>INDEX($A$94:$H$106,MATCH($L99,$B$94:$B$106,0),MATCH($AO$93,$A$94:$H$94,0))*고양시_Modal_split!L$5 * 0.01</f>
        <v>3.6601897151738787</v>
      </c>
      <c r="AY99" s="213">
        <f>INDEX($A$94:$H$106,MATCH($L99,$B$94:$B$106,0),MATCH($AO$93,$A$94:$H$94,0))*고양시_Modal_split!M$5 * 0.01</f>
        <v>0.96169690555548981</v>
      </c>
      <c r="AZ99" s="213">
        <f>INDEX($A$94:$H$106,MATCH($L99,$B$94:$B$106,0),MATCH($AO$93,$A$94:$H$94,0))*고양시_Modal_split!N$5 * 0.01</f>
        <v>0.24401264767825859</v>
      </c>
      <c r="BA99" s="213">
        <f>INDEX($A$94:$H$106,MATCH($L99,$B$94:$B$106,0),MATCH($AO$93,$A$94:$H$94,0))*고양시_Modal_split!O$5 * 0.01</f>
        <v>2.2104675142618722</v>
      </c>
      <c r="BB99" s="213">
        <f>INDEX($A$94:$H$106,MATCH($L99,$B$94:$B$106,0),MATCH($AO$93,$A$94:$H$94,0))*고양시_Modal_split!P$5 * 0.01</f>
        <v>143.53685157544621</v>
      </c>
      <c r="BC99" s="213">
        <f>INDEX($A$94:$H$106,MATCH($L99,$B$94:$B$106,0),MATCH($BC$93,$A$94:$H$94,0))*고양시_Modal_split!C$6 * 0.01</f>
        <v>0</v>
      </c>
      <c r="BD99" s="207">
        <f>INDEX($A$94:$H$106,MATCH($L99,$B$94:$B$106,0),MATCH($BC$93,$A$94:$H$94,0))*고양시_Modal_split!D$6 * 0.01</f>
        <v>0.18679339987893251</v>
      </c>
      <c r="BE99" s="207">
        <f>INDEX($A$94:$H$106,MATCH($L99,$B$94:$B$106,0),MATCH($BC$93,$A$94:$H$94,0))*고양시_Modal_split!E$6 * 0.01</f>
        <v>9.699451992264339E-4</v>
      </c>
      <c r="BF99" s="207">
        <f>INDEX($A$94:$H$106,MATCH($L99,$B$94:$B$106,0),MATCH($BC$93,$A$94:$H$94,0))*고양시_Modal_split!F$6 * 0.01</f>
        <v>2.7519375419912777E-3</v>
      </c>
      <c r="BG99" s="207">
        <f>INDEX($A$94:$H$106,MATCH($L99,$B$94:$B$106,0),MATCH($BC$93,$A$94:$H$94,0))*고양시_Modal_split!G$6 * 0.01</f>
        <v>0</v>
      </c>
      <c r="BH99" s="207">
        <f>INDEX($A$94:$H$106,MATCH($L99,$B$94:$B$106,0),MATCH($BC$93,$A$94:$H$94,0))*고양시_Modal_split!H$6 * 0.01</f>
        <v>1.1977695367191546E-2</v>
      </c>
      <c r="BI99" s="207">
        <f>INDEX($A$94:$H$106,MATCH($L99,$B$94:$B$106,0),MATCH($BC$93,$A$94:$H$94,0))*고양시_Modal_split!I$6 * 0.01</f>
        <v>7.9851302447943636E-3</v>
      </c>
      <c r="BJ99" s="207">
        <f>INDEX($A$94:$H$106,MATCH($L99,$B$94:$B$106,0),MATCH($BC$93,$A$94:$H$94,0))*고양시_Modal_split!J$6 * 0.01</f>
        <v>1.1143091358554845E-2</v>
      </c>
      <c r="BK99" s="207">
        <f>INDEX($A$94:$H$106,MATCH($L99,$B$94:$B$106,0),MATCH($BC$93,$A$94:$H$94,0))*고양시_Modal_split!K$6 * 0.01</f>
        <v>0</v>
      </c>
      <c r="BL99" s="207">
        <f>INDEX($A$94:$H$106,MATCH($L99,$B$94:$B$106,0),MATCH($BC$93,$A$94:$H$94,0))*고양시_Modal_split!L$6 * 0.01</f>
        <v>1.7143217474699763E-3</v>
      </c>
      <c r="BM99" s="207">
        <f>INDEX($A$94:$H$106,MATCH($L99,$B$94:$B$106,0),MATCH($BC$93,$A$94:$H$94,0))*고양시_Modal_split!M$6 * 0.01</f>
        <v>2.0526747239443138E-3</v>
      </c>
      <c r="BN99" s="207">
        <f>INDEX($A$94:$H$106,MATCH($L99,$B$94:$B$106,0),MATCH($BC$93,$A$94:$H$94,0))*고양시_Modal_split!N$6 * 0.01</f>
        <v>0</v>
      </c>
      <c r="BO99" s="207">
        <f>INDEX($A$94:$H$106,MATCH($L99,$B$94:$B$106,0),MATCH($BC$93,$A$94:$H$94,0))*고양시_Modal_split!O$6 * 0.01</f>
        <v>1.804549207863133E-4</v>
      </c>
      <c r="BP99" s="214">
        <f>INDEX($A$94:$H$106,MATCH($L99,$B$94:$B$106,0),MATCH($BC$93,$A$94:$H$94,0))*고양시_Modal_split!P$6 * 0.01</f>
        <v>0.22556865098289161</v>
      </c>
      <c r="BQ99" s="213">
        <f>INDEX($A$94:$H$106,MATCH($L99,$B$94:$B$106,0),MATCH($BQ$93,$A$94:$H$94,0))*고양시_Modal_split!C$7 * 0.01</f>
        <v>0</v>
      </c>
      <c r="BR99" s="213">
        <f>INDEX($A$94:$H$106,MATCH($L99,$B$94:$B$106,0),MATCH($BQ$93,$A$94:$H$94,0))*고양시_Modal_split!D$7 * 0.01</f>
        <v>0.52219643966208085</v>
      </c>
      <c r="BS99" s="213">
        <f>INDEX($A$94:$H$106,MATCH($L99,$B$94:$B$106,0),MATCH($BQ$93,$A$94:$H$94,0))*고양시_Modal_split!E$7 * 0.01</f>
        <v>2.5479232287689651E-2</v>
      </c>
      <c r="BT99" s="213">
        <f>INDEX($A$94:$H$106,MATCH($L99,$B$94:$B$106,0),MATCH($BQ$93,$A$94:$H$94,0))*고양시_Modal_split!F$7 * 0.01</f>
        <v>8.5214823704647669E-3</v>
      </c>
      <c r="BU99" s="213">
        <f>INDEX($A$94:$H$106,MATCH($L99,$B$94:$B$106,0),MATCH($BQ$93,$A$94:$H$94,0))*고양시_Modal_split!G$7 * 0.01</f>
        <v>3.5790225955952023E-3</v>
      </c>
      <c r="BV99" s="213">
        <f>INDEX($A$94:$H$106,MATCH($L99,$B$94:$B$106,0),MATCH($BQ$93,$A$94:$H$94,0))*고양시_Modal_split!H$7 * 0.01</f>
        <v>4.7635086450898048E-2</v>
      </c>
      <c r="BW99" s="213">
        <f>INDEX($A$94:$H$106,MATCH($L99,$B$94:$B$106,0),MATCH($BQ$93,$A$94:$H$94,0))*고양시_Modal_split!I$7 * 0.01</f>
        <v>0.1590960758565772</v>
      </c>
      <c r="BX99" s="213">
        <f>INDEX($A$94:$H$106,MATCH($L99,$B$94:$B$106,0),MATCH($BQ$93,$A$94:$H$94,0))*고양시_Modal_split!J$7 * 0.01</f>
        <v>1.7042964740929535E-4</v>
      </c>
      <c r="BY99" s="213">
        <f>INDEX($A$94:$H$106,MATCH($L99,$B$94:$B$106,0),MATCH($BQ$93,$A$94:$H$94,0))*고양시_Modal_split!K$7 * 0.01</f>
        <v>6.5615414252578705E-2</v>
      </c>
      <c r="BZ99" s="213">
        <f>INDEX($A$94:$H$106,MATCH($L99,$B$94:$B$106,0),MATCH($BQ$93,$A$94:$H$94,0))*고양시_Modal_split!L$7 * 0.01</f>
        <v>5.9650376593253362E-4</v>
      </c>
      <c r="CA99" s="213">
        <f>INDEX($A$94:$H$106,MATCH($L99,$B$94:$B$106,0),MATCH($BQ$93,$A$94:$H$94,0))*고양시_Modal_split!M$7 * 0.01</f>
        <v>1.5935172032769115E-2</v>
      </c>
      <c r="CB99" s="213">
        <f>INDEX($A$94:$H$106,MATCH($L99,$B$94:$B$106,0),MATCH($BQ$93,$A$94:$H$94,0))*고양시_Modal_split!N$7 * 0.01</f>
        <v>3.3233781244812587E-3</v>
      </c>
      <c r="CC99" s="213">
        <f>INDEX($A$94:$H$106,MATCH($L99,$B$94:$B$106,0),MATCH($BQ$93,$A$94:$H$94,0))*고양시_Modal_split!O$7 * 0.01</f>
        <v>0</v>
      </c>
      <c r="CD99" s="213">
        <f>INDEX($A$94:$H$106,MATCH($L99,$B$94:$B$106,0),MATCH($BQ$93,$A$94:$H$94,0))*고양시_Modal_split!P$7 * 0.01</f>
        <v>0.85214823704647669</v>
      </c>
      <c r="CE99" s="218">
        <f t="shared" si="58"/>
        <v>762.68047683192015</v>
      </c>
      <c r="CF99" s="208">
        <f t="shared" si="39"/>
        <v>1070.8955140750418</v>
      </c>
      <c r="CG99" s="208">
        <f t="shared" si="40"/>
        <v>228.24626114806475</v>
      </c>
      <c r="CH99" s="208">
        <f t="shared" si="41"/>
        <v>58.497760887824199</v>
      </c>
      <c r="CI99" s="208">
        <f t="shared" si="42"/>
        <v>297.10815215936793</v>
      </c>
      <c r="CJ99" s="208">
        <f t="shared" si="43"/>
        <v>0.19466073316154625</v>
      </c>
      <c r="CK99" s="208">
        <f t="shared" si="44"/>
        <v>100.82571573844534</v>
      </c>
      <c r="CL99" s="208">
        <f t="shared" si="45"/>
        <v>232.09562777186278</v>
      </c>
      <c r="CM99" s="208">
        <f t="shared" si="46"/>
        <v>0.61290511317733276</v>
      </c>
      <c r="CN99" s="208">
        <f t="shared" si="47"/>
        <v>129.6983526851547</v>
      </c>
      <c r="CO99" s="208">
        <f t="shared" si="48"/>
        <v>18.538630263410052</v>
      </c>
      <c r="CP99" s="208">
        <f t="shared" si="49"/>
        <v>63.144497654936913</v>
      </c>
      <c r="CQ99" s="208">
        <f t="shared" si="50"/>
        <v>29.855168876660638</v>
      </c>
      <c r="CR99" s="219">
        <f t="shared" si="51"/>
        <v>2992.393723939028</v>
      </c>
      <c r="CS99" s="225">
        <f t="shared" si="59"/>
        <v>0</v>
      </c>
      <c r="CV99" s="265"/>
      <c r="CW99" s="266" t="s">
        <v>16</v>
      </c>
      <c r="CX99" s="267">
        <f>INDEX($M$93:$Z$106,MATCH($CW99,$L$93:$L$106,0),MATCH(CX$94,$M$94:$Z$94,0))/INDEX(고양시_재차인원!$D$4:$H$35,MATCH("고양시",고양시_재차인원!$B$4:$B$35,0),MATCH('A.일산테크노밸리(859991)_수정'!$CX$93,고양시_재차인원!$D$4:$H$4,0))</f>
        <v>145.17218401495552</v>
      </c>
      <c r="CY99" s="267">
        <f>INDEX($M$93:$Z$106,MATCH($CW99,$L$93:$L$106,0),MATCH(CY$94,$M$94:$Z$94,0))/INDEX(고양시_재차인원!$K$4:$O$20,MATCH("경기도",고양시_재차인원!$K$4:$K$20,0),MATCH('A.일산테크노밸리(859991)_수정'!CY$94,고양시_재차인원!$K$4:$O$4,0))</f>
        <v>1.2008390149581215E-3</v>
      </c>
      <c r="CZ99" s="267">
        <f>INDEX($M$93:$Z$106,MATCH($CW99,$L$93:$L$106,0),MATCH(CZ$94,$M$94:$Z$94,0))/INDEX(고양시_재차인원!$K$4:$O$20,MATCH("경기도",고양시_재차인원!$K$4:$K$20,0),MATCH('A.일산테크노밸리(859991)_수정'!CZ$94,고양시_재차인원!$K$4:$O$4,0))</f>
        <v>0.33383324615835774</v>
      </c>
      <c r="DA99" s="267">
        <f>INDEX($M$93:$Z$106,MATCH($CW99,$L$93:$L$106,0),MATCH(DA$94,$M$94:$Z$94,0))/INDEX(고양시_재차인원!$K$4:$O$20,MATCH("경기도",고양시_재차인원!$K$4:$K$20,0),MATCH('A.일산테크노밸리(859991)_수정'!DA$94,고양시_재차인원!$K$4:$O$4,0))</f>
        <v>6.9605272551163884</v>
      </c>
      <c r="DB99" s="268">
        <f>INDEX($AA$93:$AN$106,MATCH($CW99,$L$93:$L$106,0),MATCH(DB$94,$AA$94:$AN$94,0))/INDEX(고양시_재차인원!$D$4:$H$35,MATCH("고양시",고양시_재차인원!$B$4:$B$35,0),MATCH('A.일산테크노밸리(859991)_수정'!$DB$93,고양시_재차인원!$D$4:$H$4,0))</f>
        <v>569.08501652784639</v>
      </c>
      <c r="DC99" s="267">
        <f>INDEX($AA$93:$AN$106,MATCH($CW99,$L$93:$L$106,0),MATCH(DC$94,$AA$94:$AN$94,0))/INDEX(고양시_재차인원!$K$4:$O$20,MATCH("경기도",고양시_재차인원!$K$4:$K$20,0),MATCH('A.일산테크노밸리(859991)_수정'!DC$94,고양시_재차인원!$K$4:$O$4,0))</f>
        <v>0</v>
      </c>
      <c r="DD99" s="267">
        <f>INDEX($AA$93:$AN$106,MATCH($CW99,$L$93:$L$106,0),MATCH(DD$94,$AA$94:$AN$94,0))/INDEX(고양시_재차인원!$K$4:$O$20,MATCH("경기도",고양시_재차인원!$K$4:$K$20,0),MATCH('A.일산테크노밸리(859991)_수정'!DD$94,고양시_재차인원!$K$4:$O$4,0))</f>
        <v>3.0243697320877039</v>
      </c>
      <c r="DE99" s="267">
        <f>INDEX($AA$93:$AN$106,MATCH($CW99,$L$93:$L$106,0),MATCH(DE$94,$AA$94:$AN$94,0))/INDEX(고양시_재차인원!$K$4:$O$20,MATCH("경기도",고양시_재차인원!$K$4:$K$20,0),MATCH('A.일산테크노밸리(859991)_수정'!DE$94,고양시_재차인원!$K$4:$O$4,0))</f>
        <v>77.063374174528562</v>
      </c>
      <c r="DF99" s="268">
        <f>INDEX($AO$93:$BB$106,MATCH($CW99,$L$93:$L$106,0),MATCH(DF$94,$AO$94:$BB$94,0))/INDEX(고양시_재차인원!$D$4:$H$35,MATCH("고양시",고양시_재차인원!$B$4:$B$35,0),MATCH('A.일산테크노밸리(859991)_수정'!$DF$93,고양시_재차인원!$D$4:$H$4,0))</f>
        <v>80.910619103451538</v>
      </c>
      <c r="DG99" s="267">
        <f>INDEX($AO$93:$BB$106,MATCH($CW99,$L$93:$L$106,0),MATCH(DG$94,$AO$94:$BB$94,0))/INDEX(고양시_재차인원!$K$4:$O$20,MATCH("경기도",고양시_재차인원!$K$4:$K$20,0),MATCH('A.일산테크노밸리(859991)_수정'!DG$94,고양시_재차인원!$K$4:$O$4,0))</f>
        <v>3.4899547100664245E-3</v>
      </c>
      <c r="DH99" s="267">
        <f>INDEX($AO$93:$BB$106,MATCH($CW99,$L$93:$L$106,0),MATCH(DH$94,$AO$94:$BB$94,0))/INDEX(고양시_재차인원!$K$4:$O$20,MATCH("경기도",고양시_재차인원!$K$4:$K$20,0),MATCH('A.일산테크노밸리(859991)_수정'!DH$94,고양시_재차인원!$K$4:$O$4,0))</f>
        <v>0.13810249352691426</v>
      </c>
      <c r="DI99" s="267">
        <f>INDEX($AO$93:$BB$106,MATCH($CW99,$L$93:$L$106,0),MATCH(DI$94,$AO$94:$BB$94,0))/INDEX(고양시_재차인원!$K$4:$O$20,MATCH("경기도",고양시_재차인원!$K$4:$K$20,0),MATCH('A.일산테크노밸리(859991)_수정'!DI$94,고양시_재차인원!$K$4:$O$4,0))</f>
        <v>2.4401264767825857</v>
      </c>
      <c r="DJ99" s="268">
        <f>INDEX($BC$93:$BP$106,MATCH($CW99,$L$93:$L$106,0),MATCH(DJ$94,$BC$94:$BP$94,0))/INDEX(고양시_재차인원!$D$4:$H$35,MATCH("고양시",고양시_재차인원!$B$4:$B$35,0),MATCH('A.일산테크노밸리(859991)_수정'!$DJ$93,고양시_재차인원!$D$4:$H$4,0))</f>
        <v>0.13734808814627389</v>
      </c>
      <c r="DK99" s="267">
        <f>INDEX($BC$93:$BP$106,MATCH($CW99,$L$93:$L$106,0),MATCH(DK$94,$BC$94:$BP$94,0))/INDEX(고양시_재차인원!$K$4:$O$20,MATCH("경기도",고양시_재차인원!$K$4:$K$20,0),MATCH('A.일산테크노밸리(859991)_수정'!DK$94,고양시_재차인원!$K$4:$O$4,0))</f>
        <v>4.160366574224226E-4</v>
      </c>
      <c r="DL99" s="267">
        <f>INDEX($BC$93:$BP$106,MATCH($CW99,$L$93:$L$106,0),MATCH(DL$94,$BC$94:$BP$94,0))/INDEX(고양시_재차인원!$K$4:$O$20,MATCH("경기도",고양시_재차인원!$K$4:$K$20,0),MATCH('A.일산테크노밸리(859991)_수정'!DL$94,고양시_재차인원!$K$4:$O$4,0))</f>
        <v>2.7735777161494836E-4</v>
      </c>
      <c r="DM99" s="267">
        <f>INDEX($BC$93:$BP$106,MATCH($CW99,$L$93:$L$106,0),MATCH(DM$94,$BC$94:$BP$94,0))/INDEX(고양시_재차인원!$K$4:$O$20,MATCH("경기도",고양시_재차인원!$K$4:$K$20,0),MATCH('A.일산테크노밸리(859991)_수정'!DM$94,고양시_재차인원!$K$4:$O$4,0))</f>
        <v>1.1428811649799842E-3</v>
      </c>
      <c r="DN99" s="268">
        <f>INDEX($BQ$93:$CD$106,MATCH($CW99,$L$93:$L$106,0),MATCH(DN$94,$BQ$94:$CD$94,0))/INDEX(고양시_재차인원!$D$4:$H$35,MATCH("고양시",고양시_재차인원!$B$4:$B$35,0),MATCH('A.일산테크노밸리(859991)_수정'!$DN$93,고양시_재차인원!$D$4:$H$4,0))</f>
        <v>0.41444161877942925</v>
      </c>
      <c r="DO99" s="267">
        <f>INDEX($BQ$93:$CD$106,MATCH($CW99,$L$93:$L$106,0),MATCH(DO$94,$BQ$94:$CD$94,0))/INDEX(고양시_재차인원!$K$4:$O$20,MATCH("경기도",고양시_재차인원!$K$4:$K$20,0),MATCH('A.일산테크노밸리(859991)_수정'!DO$94,고양시_재차인원!$K$4:$O$4,0))</f>
        <v>1.6545705609898593E-3</v>
      </c>
      <c r="DP99" s="267">
        <f>INDEX($BQ$93:$CD$106,MATCH($CW99,$L$93:$L$106,0),MATCH(DP$94,$BQ$94:$CD$94,0))/INDEX(고양시_재차인원!$K$4:$O$20,MATCH("경기도",고양시_재차인원!$K$4:$K$20,0),MATCH('A.일산테크노밸리(859991)_수정'!DP$94,고양시_재차인원!$K$4:$O$4,0))</f>
        <v>5.5260880811593329E-3</v>
      </c>
      <c r="DQ99" s="267">
        <f>INDEX($BQ$93:$CD$106,MATCH($CW99,$L$93:$L$106,0),MATCH(DQ$94,$BQ$94:$CD$94,0))/INDEX(고양시_재차인원!$K$4:$O$20,MATCH("경기도",고양시_재차인원!$K$4:$K$20,0),MATCH('A.일산테크노밸리(859991)_수정'!DQ$94,고양시_재차인원!$K$4:$O$4,0))</f>
        <v>3.9766917728835573E-4</v>
      </c>
      <c r="DR99" s="269">
        <f t="shared" si="60"/>
        <v>795.71960935317907</v>
      </c>
      <c r="DS99" s="270">
        <f t="shared" si="52"/>
        <v>6.7614009434368277E-3</v>
      </c>
      <c r="DT99" s="270">
        <f t="shared" si="53"/>
        <v>3.5021089176257503</v>
      </c>
      <c r="DU99" s="270">
        <f t="shared" si="54"/>
        <v>86.465568456769802</v>
      </c>
      <c r="DW99" s="278"/>
      <c r="DX99" s="278" t="s">
        <v>592</v>
      </c>
      <c r="DY99" s="281">
        <f t="shared" si="61"/>
        <v>882.18517780994887</v>
      </c>
      <c r="DZ99" s="281">
        <f t="shared" si="62"/>
        <v>3.508870318569187</v>
      </c>
      <c r="EC99" s="412" t="s">
        <v>15</v>
      </c>
      <c r="ED99" s="412" t="s">
        <v>570</v>
      </c>
      <c r="EE99" s="412">
        <v>24085.599100000003</v>
      </c>
      <c r="EF99" s="412">
        <v>0.11186292027724311</v>
      </c>
      <c r="EG99" s="413">
        <v>859006</v>
      </c>
      <c r="EH99" s="414">
        <f t="shared" si="55"/>
        <v>884.5227183037681</v>
      </c>
      <c r="EI99" s="415">
        <f t="shared" si="56"/>
        <v>3.5181678296400229</v>
      </c>
      <c r="EJ99" s="402">
        <v>0</v>
      </c>
      <c r="EM99" s="278" t="s">
        <v>15</v>
      </c>
      <c r="EN99" s="278" t="s">
        <v>570</v>
      </c>
      <c r="EO99" s="278">
        <v>24085.599100000003</v>
      </c>
      <c r="EP99" s="278">
        <v>0.11186292027724311</v>
      </c>
      <c r="EQ99" s="289">
        <v>859006</v>
      </c>
      <c r="ER99" s="290">
        <f t="shared" si="37"/>
        <v>884.5227183037681</v>
      </c>
      <c r="ES99" s="291">
        <f t="shared" si="38"/>
        <v>3.5181678296400229</v>
      </c>
      <c r="ET99" s="402">
        <v>0</v>
      </c>
      <c r="EV99" s="34"/>
      <c r="EW99" s="34"/>
      <c r="EX99" s="34"/>
      <c r="EY99" s="34"/>
      <c r="EZ99" s="378"/>
      <c r="FA99" s="401"/>
      <c r="FB99" s="402"/>
      <c r="FC99" s="402"/>
    </row>
    <row r="100" spans="1:159" ht="25">
      <c r="A100" s="205"/>
      <c r="B100" s="205" t="s">
        <v>17</v>
      </c>
      <c r="C100" s="400">
        <f>'A.일산테크노밸리(859991)_수정'!$P33*KTDB_TripDistribution_2040!T$12 * (1+KTDB_발생량도착량_증가율!$D$8 *5) * (1+KTDB_발생량도착량_증가율!$E$8 *5) * (1+KTDB_발생량도착량_증가율!$F$8 *5)</f>
        <v>295.13888252509332</v>
      </c>
      <c r="D100" s="400">
        <f>'A.일산테크노밸리(859991)_수정'!$P33*KTDB_TripDistribution_2040!U$12 * (1+KTDB_발생량도착량_증가율!$D$8 *5) * (1+KTDB_발생량도착량_증가율!$E$8 *5) * (1+KTDB_발생량도착량_증가율!$F$8 *5)</f>
        <v>2135.980472849074</v>
      </c>
      <c r="E100" s="400">
        <f>'A.일산테크노밸리(859991)_수정'!$P33*KTDB_TripDistribution_2040!V$12 * (1+KTDB_발생량도착량_증가율!$D$8 *5) * (1+KTDB_발생량도착량_증가율!$E$8 *5) * (1+KTDB_발생량도착량_증가율!$F$8 *5)</f>
        <v>122.53591273171047</v>
      </c>
      <c r="F100" s="400">
        <f>'A.일산테크노밸리(859991)_수정'!$P33*KTDB_TripDistribution_2040!W$12 * (1+KTDB_발생량도착량_증가율!$D$8 *5) * (1+KTDB_발생량도착량_증가율!$E$8 *5) * (1+KTDB_발생량도착량_증가율!$F$8 *5)</f>
        <v>0.19256560408335915</v>
      </c>
      <c r="G100" s="400">
        <f>'A.일산테크노밸리(859991)_수정'!$P33*KTDB_TripDistribution_2040!X$12 * (1+KTDB_발생량도착량_증가율!$D$8 *5) * (1+KTDB_발생량도착량_증가율!$E$8 *5) * (1+KTDB_발생량도착량_증가율!$F$8 *5)</f>
        <v>0.72747005987046554</v>
      </c>
      <c r="H100" s="400">
        <f>'A.일산테크노밸리(859991)_수정'!$P33*KTDB_TripDistribution_2040!Y$12 * (1+KTDB_발생량도착량_증가율!$D$8 *5) * (1+KTDB_발생량도착량_증가율!$E$8 *5) * (1+KTDB_발생량도착량_증가율!$F$8 *5)</f>
        <v>2554.5753037698319</v>
      </c>
      <c r="J100" s="230">
        <f t="shared" si="57"/>
        <v>2554.5753037698319</v>
      </c>
      <c r="K100" s="206"/>
      <c r="L100" s="209" t="s">
        <v>17</v>
      </c>
      <c r="M100" s="213">
        <f>INDEX($A$94:$H$106,MATCH($L100,$B$94:$B$106,0),MATCH($M$93,$A$94:$H$94,0))*고양시_Modal_split!C$3 * 0.01</f>
        <v>0.82638887107026127</v>
      </c>
      <c r="N100" s="213">
        <f>INDEX($A$94:$H$106,MATCH($L100,$B$94:$B$106,0),MATCH($M$93,$A$94:$H$94,0))*고양시_Modal_split!D$3 * 0.01</f>
        <v>138.8038164515514</v>
      </c>
      <c r="O100" s="213">
        <f>INDEX($A$94:$H$106,MATCH($L100,$B$94:$B$106,0),MATCH($M$93,$A$94:$H$94,0))*고양시_Modal_split!E$3 * 0.01</f>
        <v>16.793402415677807</v>
      </c>
      <c r="P100" s="213">
        <f>INDEX($A$94:$H$106,MATCH($L100,$B$94:$B$106,0),MATCH($M$93,$A$94:$H$94,0))*고양시_Modal_split!F$3 * 0.01</f>
        <v>27.064235527551059</v>
      </c>
      <c r="Q100" s="213">
        <f>INDEX($A$94:$H$106,MATCH($L100,$B$94:$B$106,0),MATCH($M$93,$A$94:$H$94,0))*고양시_Modal_split!G$3 * 0.01</f>
        <v>2.7152777192308584</v>
      </c>
      <c r="R100" s="213">
        <f>INDEX($A$94:$H$106,MATCH($L100,$B$94:$B$106,0),MATCH($M$93,$A$94:$H$94,0))*고양시_Modal_split!H$3 * 0.01</f>
        <v>2.9513888252509335E-2</v>
      </c>
      <c r="S100" s="213">
        <f>INDEX($A$94:$H$106,MATCH($L100,$B$94:$B$106,0),MATCH($M$93,$A$94:$H$94,0))*고양시_Modal_split!I$3 * 0.01</f>
        <v>8.204860934197594</v>
      </c>
      <c r="T100" s="213">
        <f>INDEX($A$94:$H$106,MATCH($L100,$B$94:$B$106,0),MATCH($M$93,$A$94:$H$94,0))*고양시_Modal_split!J$3 * 0.01</f>
        <v>89.840275840638412</v>
      </c>
      <c r="U100" s="213">
        <f>INDEX($A$94:$H$106,MATCH($L100,$B$94:$B$106,0),MATCH($M$93,$A$94:$H$94,0))*고양시_Modal_split!K$3 * 0.01</f>
        <v>0.44270832378763997</v>
      </c>
      <c r="V100" s="213">
        <f>INDEX($A$94:$H$106,MATCH($L100,$B$94:$B$106,0),MATCH($M$93,$A$94:$H$94,0))*고양시_Modal_split!L$3 * 0.01</f>
        <v>8.9131942522578189</v>
      </c>
      <c r="W100" s="213">
        <f>INDEX($A$94:$H$106,MATCH($L100,$B$94:$B$106,0),MATCH($M$93,$A$94:$H$94,0))*고양시_Modal_split!M$3 * 0.01</f>
        <v>0.67881942980771459</v>
      </c>
      <c r="X100" s="213">
        <f>INDEX($A$94:$H$106,MATCH($L100,$B$94:$B$106,0),MATCH($M$93,$A$94:$H$94,0))*고양시_Modal_split!N$3 * 0.01</f>
        <v>0.29513888252509335</v>
      </c>
      <c r="Y100" s="213">
        <f>INDEX($A$94:$H$106,MATCH($L100,$B$94:$B$106,0),MATCH($M$93,$A$94:$H$94,0))*고양시_Modal_split!O$3 * 0.01</f>
        <v>0.53124998854516803</v>
      </c>
      <c r="Z100" s="213">
        <f>INDEX($A$94:$H$106,MATCH($L100,$B$94:$B$106,0),MATCH($M$93,$A$94:$H$94,0))*고양시_Modal_split!P$3 * 0.01</f>
        <v>295.13888252509332</v>
      </c>
      <c r="AA100" s="213">
        <f>INDEX($A$94:$H$106,MATCH($L100,$B$94:$B$106,0),MATCH($AA$93,$A$94:$H$94,0))*고양시_Modal_split!C$4 * 0.01</f>
        <v>650.19245593525818</v>
      </c>
      <c r="AB100" s="213">
        <f>INDEX($A$94:$H$106,MATCH($L100,$B$94:$B$106,0),MATCH($AA$93,$A$94:$H$94,0))*고양시_Modal_split!D$4 * 0.01</f>
        <v>685.00893764269802</v>
      </c>
      <c r="AC100" s="213">
        <f>INDEX($A$94:$H$106,MATCH($L100,$B$94:$B$106,0),MATCH($AA$93,$A$94:$H$94,0))*고양시_Modal_split!E$4 * 0.01</f>
        <v>165.96568274037304</v>
      </c>
      <c r="AD100" s="213">
        <f>INDEX($A$94:$H$106,MATCH($L100,$B$94:$B$106,0),MATCH($AA$93,$A$94:$H$94,0))*고양시_Modal_split!F$4 * 0.01</f>
        <v>20.291814492066202</v>
      </c>
      <c r="AE100" s="213">
        <f>INDEX($A$94:$H$106,MATCH($L100,$B$94:$B$106,0),MATCH($AA$93,$A$94:$H$94,0))*고양시_Modal_split!G$4 * 0.01</f>
        <v>250.12331337062653</v>
      </c>
      <c r="AF100" s="213">
        <f>INDEX($A$94:$H$106,MATCH($L100,$B$94:$B$106,0),MATCH($AA$93,$A$94:$H$94,0))*고양시_Modal_split!H$4 * 0.01</f>
        <v>0</v>
      </c>
      <c r="AG100" s="213">
        <f>INDEX($A$94:$H$106,MATCH($L100,$B$94:$B$106,0),MATCH($AA$93,$A$94:$H$94,0))*고양시_Modal_split!I$4 * 0.01</f>
        <v>74.332120455147759</v>
      </c>
      <c r="AH100" s="213">
        <f>INDEX($A$94:$H$106,MATCH($L100,$B$94:$B$106,0),MATCH($AA$93,$A$94:$H$94,0))*고양시_Modal_split!J$4 * 0.01</f>
        <v>100.6046802711914</v>
      </c>
      <c r="AI100" s="213">
        <f>INDEX($A$94:$H$106,MATCH($L100,$B$94:$B$106,0),MATCH($AA$93,$A$94:$H$94,0))*고양시_Modal_split!K$4 * 0.01</f>
        <v>0</v>
      </c>
      <c r="AJ100" s="213">
        <f>INDEX($A$94:$H$106,MATCH($L100,$B$94:$B$106,0),MATCH($AA$93,$A$94:$H$94,0))*고양시_Modal_split!L$4 * 0.01</f>
        <v>98.682297845627218</v>
      </c>
      <c r="AK100" s="213">
        <f>INDEX($A$94:$H$106,MATCH($L100,$B$94:$B$106,0),MATCH($AA$93,$A$94:$H$94,0))*고양시_Modal_split!M$4 * 0.01</f>
        <v>14.311069168088798</v>
      </c>
      <c r="AL100" s="213">
        <f>INDEX($A$94:$H$106,MATCH($L100,$B$94:$B$106,0),MATCH($AA$93,$A$94:$H$94,0))*고양시_Modal_split!N$4 * 0.01</f>
        <v>53.399511821226852</v>
      </c>
      <c r="AM100" s="213">
        <f>INDEX($A$94:$H$106,MATCH($L100,$B$94:$B$106,0),MATCH($AA$93,$A$94:$H$94,0))*고양시_Modal_split!O$4 * 0.01</f>
        <v>23.068589106770002</v>
      </c>
      <c r="AN100" s="213">
        <f>INDEX($A$94:$H$106,MATCH($L100,$B$94:$B$106,0),MATCH($AA$93,$A$94:$H$94,0))*고양시_Modal_split!P$4 * 0.01</f>
        <v>2135.980472849074</v>
      </c>
      <c r="AO100" s="213">
        <f>INDEX($A$94:$H$106,MATCH($L100,$B$94:$B$106,0),MATCH($AO$93,$A$94:$H$94,0))*고양시_Modal_split!C$5 * 0.01</f>
        <v>7.3521547639026283E-2</v>
      </c>
      <c r="AP100" s="213">
        <f>INDEX($A$94:$H$106,MATCH($L100,$B$94:$B$106,0),MATCH($AO$93,$A$94:$H$94,0))*고양시_Modal_split!D$5 * 0.01</f>
        <v>89.79431684979744</v>
      </c>
      <c r="AQ100" s="213">
        <f>INDEX($A$94:$H$106,MATCH($L100,$B$94:$B$106,0),MATCH($AO$93,$A$94:$H$94,0))*고양시_Modal_split!E$5 * 0.01</f>
        <v>12.069787404073482</v>
      </c>
      <c r="AR100" s="213">
        <f>INDEX($A$94:$H$106,MATCH($L100,$B$94:$B$106,0),MATCH($AO$93,$A$94:$H$94,0))*고양시_Modal_split!F$5 * 0.01</f>
        <v>2.5732541673659202</v>
      </c>
      <c r="AS100" s="213">
        <f>INDEX($A$94:$H$106,MATCH($L100,$B$94:$B$106,0),MATCH($AO$93,$A$94:$H$94,0))*고양시_Modal_split!G$5 * 0.01</f>
        <v>0.7964834327561181</v>
      </c>
      <c r="AT100" s="213">
        <f>INDEX($A$94:$H$106,MATCH($L100,$B$94:$B$106,0),MATCH($AO$93,$A$94:$H$94,0))*고양시_Modal_split!H$5 * 0.01</f>
        <v>8.5775138912197332E-2</v>
      </c>
      <c r="AU100" s="213">
        <f>INDEX($A$94:$H$106,MATCH($L100,$B$94:$B$106,0),MATCH($AO$93,$A$94:$H$94,0))*고양시_Modal_split!I$5 * 0.01</f>
        <v>3.3942447826683799</v>
      </c>
      <c r="AV100" s="213">
        <f>INDEX($A$94:$H$106,MATCH($L100,$B$94:$B$106,0),MATCH($AO$93,$A$94:$H$94,0))*고양시_Modal_split!J$5 * 0.01</f>
        <v>7.6830017282782466</v>
      </c>
      <c r="AW100" s="213">
        <f>INDEX($A$94:$H$106,MATCH($L100,$B$94:$B$106,0),MATCH($AO$93,$A$94:$H$94,0))*고양시_Modal_split!K$5 * 0.01</f>
        <v>2.4507182546342095E-2</v>
      </c>
      <c r="AX100" s="213">
        <f>INDEX($A$94:$H$106,MATCH($L100,$B$94:$B$106,0),MATCH($AO$93,$A$94:$H$94,0))*고양시_Modal_split!L$5 * 0.01</f>
        <v>3.1246657746586171</v>
      </c>
      <c r="AY100" s="213">
        <f>INDEX($A$94:$H$106,MATCH($L100,$B$94:$B$106,0),MATCH($AO$93,$A$94:$H$94,0))*고양시_Modal_split!M$5 * 0.01</f>
        <v>0.8209906153024602</v>
      </c>
      <c r="AZ100" s="213">
        <f>INDEX($A$94:$H$106,MATCH($L100,$B$94:$B$106,0),MATCH($AO$93,$A$94:$H$94,0))*고양시_Modal_split!N$5 * 0.01</f>
        <v>0.20831105164390779</v>
      </c>
      <c r="BA100" s="213">
        <f>INDEX($A$94:$H$106,MATCH($L100,$B$94:$B$106,0),MATCH($AO$93,$A$94:$H$94,0))*고양시_Modal_split!O$5 * 0.01</f>
        <v>1.8870530560683412</v>
      </c>
      <c r="BB100" s="213">
        <f>INDEX($A$94:$H$106,MATCH($L100,$B$94:$B$106,0),MATCH($AO$93,$A$94:$H$94,0))*고양시_Modal_split!P$5 * 0.01</f>
        <v>122.53591273171045</v>
      </c>
      <c r="BC100" s="213">
        <f>INDEX($A$94:$H$106,MATCH($L100,$B$94:$B$106,0),MATCH($BC$93,$A$94:$H$94,0))*고양시_Modal_split!C$6 * 0.01</f>
        <v>0</v>
      </c>
      <c r="BD100" s="207">
        <f>INDEX($A$94:$H$106,MATCH($L100,$B$94:$B$106,0),MATCH($BC$93,$A$94:$H$94,0))*고양시_Modal_split!D$6 * 0.01</f>
        <v>0.15946357674142969</v>
      </c>
      <c r="BE100" s="207">
        <f>INDEX($A$94:$H$106,MATCH($L100,$B$94:$B$106,0),MATCH($BC$93,$A$94:$H$94,0))*고양시_Modal_split!E$6 * 0.01</f>
        <v>8.2803209755844432E-4</v>
      </c>
      <c r="BF100" s="207">
        <f>INDEX($A$94:$H$106,MATCH($L100,$B$94:$B$106,0),MATCH($BC$93,$A$94:$H$94,0))*고양시_Modal_split!F$6 * 0.01</f>
        <v>2.3493003698169816E-3</v>
      </c>
      <c r="BG100" s="207">
        <f>INDEX($A$94:$H$106,MATCH($L100,$B$94:$B$106,0),MATCH($BC$93,$A$94:$H$94,0))*고양시_Modal_split!G$6 * 0.01</f>
        <v>0</v>
      </c>
      <c r="BH100" s="207">
        <f>INDEX($A$94:$H$106,MATCH($L100,$B$94:$B$106,0),MATCH($BC$93,$A$94:$H$94,0))*고양시_Modal_split!H$6 * 0.01</f>
        <v>1.0225233576826372E-2</v>
      </c>
      <c r="BI100" s="207">
        <f>INDEX($A$94:$H$106,MATCH($L100,$B$94:$B$106,0),MATCH($BC$93,$A$94:$H$94,0))*고양시_Modal_split!I$6 * 0.01</f>
        <v>6.8168223845509147E-3</v>
      </c>
      <c r="BJ100" s="207">
        <f>INDEX($A$94:$H$106,MATCH($L100,$B$94:$B$106,0),MATCH($BC$93,$A$94:$H$94,0))*고양시_Modal_split!J$6 * 0.01</f>
        <v>9.5127408417179423E-3</v>
      </c>
      <c r="BK100" s="207">
        <f>INDEX($A$94:$H$106,MATCH($L100,$B$94:$B$106,0),MATCH($BC$93,$A$94:$H$94,0))*고양시_Modal_split!K$6 * 0.01</f>
        <v>0</v>
      </c>
      <c r="BL100" s="207">
        <f>INDEX($A$94:$H$106,MATCH($L100,$B$94:$B$106,0),MATCH($BC$93,$A$94:$H$94,0))*고양시_Modal_split!L$6 * 0.01</f>
        <v>1.4634985910335298E-3</v>
      </c>
      <c r="BM100" s="207">
        <f>INDEX($A$94:$H$106,MATCH($L100,$B$94:$B$106,0),MATCH($BC$93,$A$94:$H$94,0))*고양시_Modal_split!M$6 * 0.01</f>
        <v>1.7523469971585685E-3</v>
      </c>
      <c r="BN100" s="207">
        <f>INDEX($A$94:$H$106,MATCH($L100,$B$94:$B$106,0),MATCH($BC$93,$A$94:$H$94,0))*고양시_Modal_split!N$6 * 0.01</f>
        <v>0</v>
      </c>
      <c r="BO100" s="207">
        <f>INDEX($A$94:$H$106,MATCH($L100,$B$94:$B$106,0),MATCH($BC$93,$A$94:$H$94,0))*고양시_Modal_split!O$6 * 0.01</f>
        <v>1.5405248326668731E-4</v>
      </c>
      <c r="BP100" s="214">
        <f>INDEX($A$94:$H$106,MATCH($L100,$B$94:$B$106,0),MATCH($BC$93,$A$94:$H$94,0))*고양시_Modal_split!P$6 * 0.01</f>
        <v>0.19256560408335915</v>
      </c>
      <c r="BQ100" s="213">
        <f>INDEX($A$94:$H$106,MATCH($L100,$B$94:$B$106,0),MATCH($BQ$93,$A$94:$H$94,0))*고양시_Modal_split!C$7 * 0.01</f>
        <v>0</v>
      </c>
      <c r="BR100" s="213">
        <f>INDEX($A$94:$H$106,MATCH($L100,$B$94:$B$106,0),MATCH($BQ$93,$A$94:$H$94,0))*고양시_Modal_split!D$7 * 0.01</f>
        <v>0.44579365268862126</v>
      </c>
      <c r="BS100" s="213">
        <f>INDEX($A$94:$H$106,MATCH($L100,$B$94:$B$106,0),MATCH($BQ$93,$A$94:$H$94,0))*고양시_Modal_split!E$7 * 0.01</f>
        <v>2.1751354790126919E-2</v>
      </c>
      <c r="BT100" s="213">
        <f>INDEX($A$94:$H$106,MATCH($L100,$B$94:$B$106,0),MATCH($BQ$93,$A$94:$H$94,0))*고양시_Modal_split!F$7 * 0.01</f>
        <v>7.2747005987046556E-3</v>
      </c>
      <c r="BU100" s="213">
        <f>INDEX($A$94:$H$106,MATCH($L100,$B$94:$B$106,0),MATCH($BQ$93,$A$94:$H$94,0))*고양시_Modal_split!G$7 * 0.01</f>
        <v>3.055374251455955E-3</v>
      </c>
      <c r="BV100" s="213">
        <f>INDEX($A$94:$H$106,MATCH($L100,$B$94:$B$106,0),MATCH($BQ$93,$A$94:$H$94,0))*고양시_Modal_split!H$7 * 0.01</f>
        <v>4.0665576346759026E-2</v>
      </c>
      <c r="BW100" s="213">
        <f>INDEX($A$94:$H$106,MATCH($L100,$B$94:$B$106,0),MATCH($BQ$93,$A$94:$H$94,0))*고양시_Modal_split!I$7 * 0.01</f>
        <v>0.13581866017781594</v>
      </c>
      <c r="BX100" s="213">
        <f>INDEX($A$94:$H$106,MATCH($L100,$B$94:$B$106,0),MATCH($BQ$93,$A$94:$H$94,0))*고양시_Modal_split!J$7 * 0.01</f>
        <v>1.454940119740931E-4</v>
      </c>
      <c r="BY100" s="213">
        <f>INDEX($A$94:$H$106,MATCH($L100,$B$94:$B$106,0),MATCH($BQ$93,$A$94:$H$94,0))*고양시_Modal_split!K$7 * 0.01</f>
        <v>5.6015194610025854E-2</v>
      </c>
      <c r="BZ100" s="213">
        <f>INDEX($A$94:$H$106,MATCH($L100,$B$94:$B$106,0),MATCH($BQ$93,$A$94:$H$94,0))*고양시_Modal_split!L$7 * 0.01</f>
        <v>5.0922904190932577E-4</v>
      </c>
      <c r="CA100" s="213">
        <f>INDEX($A$94:$H$106,MATCH($L100,$B$94:$B$106,0),MATCH($BQ$93,$A$94:$H$94,0))*고양시_Modal_split!M$7 * 0.01</f>
        <v>1.3603690119577707E-2</v>
      </c>
      <c r="CB100" s="213">
        <f>INDEX($A$94:$H$106,MATCH($L100,$B$94:$B$106,0),MATCH($BQ$93,$A$94:$H$94,0))*고양시_Modal_split!N$7 * 0.01</f>
        <v>2.8371332334948154E-3</v>
      </c>
      <c r="CC100" s="213">
        <f>INDEX($A$94:$H$106,MATCH($L100,$B$94:$B$106,0),MATCH($BQ$93,$A$94:$H$94,0))*고양시_Modal_split!O$7 * 0.01</f>
        <v>0</v>
      </c>
      <c r="CD100" s="213">
        <f>INDEX($A$94:$H$106,MATCH($L100,$B$94:$B$106,0),MATCH($BQ$93,$A$94:$H$94,0))*고양시_Modal_split!P$7 * 0.01</f>
        <v>0.72747005987046554</v>
      </c>
      <c r="CE100" s="218">
        <f t="shared" si="58"/>
        <v>651.09236635396746</v>
      </c>
      <c r="CF100" s="208">
        <f t="shared" si="39"/>
        <v>914.21232817347698</v>
      </c>
      <c r="CG100" s="208">
        <f t="shared" si="40"/>
        <v>194.85145194701201</v>
      </c>
      <c r="CH100" s="208">
        <f t="shared" si="41"/>
        <v>49.938928187951696</v>
      </c>
      <c r="CI100" s="208">
        <f t="shared" si="42"/>
        <v>253.63812989686497</v>
      </c>
      <c r="CJ100" s="208">
        <f t="shared" si="43"/>
        <v>0.16617983708829207</v>
      </c>
      <c r="CK100" s="208">
        <f t="shared" si="44"/>
        <v>86.073861654576106</v>
      </c>
      <c r="CL100" s="208">
        <f t="shared" si="45"/>
        <v>198.13761607496176</v>
      </c>
      <c r="CM100" s="208">
        <f t="shared" si="46"/>
        <v>0.52323070094400792</v>
      </c>
      <c r="CN100" s="208">
        <f t="shared" si="47"/>
        <v>110.72213060017661</v>
      </c>
      <c r="CO100" s="208">
        <f t="shared" si="48"/>
        <v>15.826235250315708</v>
      </c>
      <c r="CP100" s="208">
        <f t="shared" si="49"/>
        <v>53.905798888629349</v>
      </c>
      <c r="CQ100" s="208">
        <f t="shared" si="50"/>
        <v>25.487046203866779</v>
      </c>
      <c r="CR100" s="219">
        <f t="shared" si="51"/>
        <v>2554.5753037698319</v>
      </c>
      <c r="CS100" s="225">
        <f t="shared" si="59"/>
        <v>0</v>
      </c>
      <c r="CV100" s="265"/>
      <c r="CW100" s="266" t="s">
        <v>17</v>
      </c>
      <c r="CX100" s="267">
        <f>INDEX($M$93:$Z$106,MATCH($CW100,$L$93:$L$106,0),MATCH(CX$94,$M$94:$Z$94,0))/INDEX(고양시_재차인원!$D$4:$H$35,MATCH("고양시",고양시_재차인원!$B$4:$B$35,0),MATCH('A.일산테크노밸리(859991)_수정'!$CX$93,고양시_재차인원!$D$4:$H$4,0))</f>
        <v>123.93197897459945</v>
      </c>
      <c r="CY100" s="267">
        <f>INDEX($M$93:$Z$106,MATCH($CW100,$L$93:$L$106,0),MATCH(CY$94,$M$94:$Z$94,0))/INDEX(고양시_재차인원!$K$4:$O$20,MATCH("경기도",고양시_재차인원!$K$4:$K$20,0),MATCH('A.일산테크노밸리(859991)_수정'!CY$94,고양시_재차인원!$K$4:$O$4,0))</f>
        <v>1.0251437392326966E-3</v>
      </c>
      <c r="CZ100" s="267">
        <f>INDEX($M$93:$Z$106,MATCH($CW100,$L$93:$L$106,0),MATCH(CZ$94,$M$94:$Z$94,0))/INDEX(고양시_재차인원!$K$4:$O$20,MATCH("경기도",고양시_재차인원!$K$4:$K$20,0),MATCH('A.일산테크노밸리(859991)_수정'!CZ$94,고양시_재차인원!$K$4:$O$4,0))</f>
        <v>0.28498995950668965</v>
      </c>
      <c r="DA100" s="267">
        <f>INDEX($M$93:$Z$106,MATCH($CW100,$L$93:$L$106,0),MATCH(DA$94,$M$94:$Z$94,0))/INDEX(고양시_재차인원!$K$4:$O$20,MATCH("경기도",고양시_재차인원!$K$4:$K$20,0),MATCH('A.일산테크노밸리(859991)_수정'!DA$94,고양시_재차인원!$K$4:$O$4,0))</f>
        <v>5.9421295015052129</v>
      </c>
      <c r="DB100" s="268">
        <f>INDEX($AA$93:$AN$106,MATCH($CW100,$L$93:$L$106,0),MATCH(DB$94,$AA$94:$AN$94,0))/INDEX(고양시_재차인원!$D$4:$H$35,MATCH("고양시",고양시_재차인원!$B$4:$B$35,0),MATCH('A.일산테크노밸리(859991)_수정'!$DB$93,고양시_재차인원!$D$4:$H$4,0))</f>
        <v>485.82194159056598</v>
      </c>
      <c r="DC100" s="267">
        <f>INDEX($AA$93:$AN$106,MATCH($CW100,$L$93:$L$106,0),MATCH(DC$94,$AA$94:$AN$94,0))/INDEX(고양시_재차인원!$K$4:$O$20,MATCH("경기도",고양시_재차인원!$K$4:$K$20,0),MATCH('A.일산테크노밸리(859991)_수정'!DC$94,고양시_재차인원!$K$4:$O$4,0))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0" s="267">
        <f>INDEX($AA$93:$AN$106,MATCH($CW100,$L$93:$L$106,0),MATCH(DD$94,$AA$94:$AN$94,0))/INDEX(고양시_재차인원!$K$4:$O$20,MATCH("경기도",고양시_재차인원!$K$4:$K$20,0),MATCH('A.일산테크노밸리(859991)_수정'!DD$94,고양시_재차인원!$K$4:$O$4,0))</f>
        <v>2.5818728883344133</v>
      </c>
      <c r="DE100" s="267">
        <f>INDEX($AA$93:$AN$106,MATCH($CW100,$L$93:$L$106,0),MATCH(DE$94,$AA$94:$AN$94,0))/INDEX(고양시_재차인원!$K$4:$O$20,MATCH("경기도",고양시_재차인원!$K$4:$K$20,0),MATCH('A.일산테크노밸리(859991)_수정'!DE$94,고양시_재차인원!$K$4:$O$4,0))</f>
        <v>65.788198563751479</v>
      </c>
      <c r="DF100" s="268">
        <f>INDEX($AO$93:$BB$106,MATCH($CW100,$L$93:$L$106,0),MATCH(DF$94,$AO$94:$BB$94,0))/INDEX(고양시_재차인원!$D$4:$H$35,MATCH("고양시",고양시_재차인원!$B$4:$B$35,0),MATCH('A.일산테크노밸리(859991)_수정'!$DF$93,고양시_재차인원!$D$4:$H$4,0))</f>
        <v>69.072551422921109</v>
      </c>
      <c r="DG100" s="267">
        <f>INDEX($AO$93:$BB$106,MATCH($CW100,$L$93:$L$106,0),MATCH(DG$94,$AO$94:$BB$94,0))/INDEX(고양시_재차인원!$K$4:$O$20,MATCH("경기도",고양시_재차인원!$K$4:$K$20,0),MATCH('A.일산테크노밸리(859991)_수정'!DG$94,고양시_재차인원!$K$4:$O$4,0))</f>
        <v>2.9793379267869864E-3</v>
      </c>
      <c r="DH100" s="267">
        <f>INDEX($AO$93:$BB$106,MATCH($CW100,$L$93:$L$106,0),MATCH(DH$94,$AO$94:$BB$94,0))/INDEX(고양시_재차인원!$K$4:$O$20,MATCH("경기도",고양시_재차인원!$K$4:$K$20,0),MATCH('A.일산테크노밸리(859991)_수정'!DH$94,고양시_재차인원!$K$4:$O$4,0))</f>
        <v>0.1178966579599993</v>
      </c>
      <c r="DI100" s="267">
        <f>INDEX($AO$93:$BB$106,MATCH($CW100,$L$93:$L$106,0),MATCH(DI$94,$AO$94:$BB$94,0))/INDEX(고양시_재차인원!$K$4:$O$20,MATCH("경기도",고양시_재차인원!$K$4:$K$20,0),MATCH('A.일산테크노밸리(859991)_수정'!DI$94,고양시_재차인원!$K$4:$O$4,0))</f>
        <v>2.0831105164390782</v>
      </c>
      <c r="DJ100" s="268">
        <f>INDEX($BC$93:$BP$106,MATCH($CW100,$L$93:$L$106,0),MATCH(DJ$94,$BC$94:$BP$94,0))/INDEX(고양시_재차인원!$D$4:$H$35,MATCH("고양시",고양시_재차인원!$B$4:$B$35,0),MATCH('A.일산테크노밸리(859991)_수정'!$DJ$93,고양시_재차인원!$D$4:$H$4,0))</f>
        <v>0.11725262995693359</v>
      </c>
      <c r="DK100" s="267">
        <f>INDEX($BC$93:$BP$106,MATCH($CW100,$L$93:$L$106,0),MATCH(DK$94,$BC$94:$BP$94,0))/INDEX(고양시_재차인원!$K$4:$O$20,MATCH("경기도",고양시_재차인원!$K$4:$K$20,0),MATCH('A.일산테크노밸리(859991)_수정'!DK$94,고양시_재차인원!$K$4:$O$4,0))</f>
        <v>3.5516615410998163E-4</v>
      </c>
      <c r="DL100" s="267">
        <f>INDEX($BC$93:$BP$106,MATCH($CW100,$L$93:$L$106,0),MATCH(DL$94,$BC$94:$BP$94,0))/INDEX(고양시_재차인원!$K$4:$O$20,MATCH("경기도",고양시_재차인원!$K$4:$K$20,0),MATCH('A.일산테크노밸리(859991)_수정'!DL$94,고양시_재차인원!$K$4:$O$4,0))</f>
        <v>2.3677743607332112E-4</v>
      </c>
      <c r="DM100" s="267">
        <f>INDEX($BC$93:$BP$106,MATCH($CW100,$L$93:$L$106,0),MATCH(DM$94,$BC$94:$BP$94,0))/INDEX(고양시_재차인원!$K$4:$O$20,MATCH("경기도",고양시_재차인원!$K$4:$K$20,0),MATCH('A.일산테크노밸리(859991)_수정'!DM$94,고양시_재차인원!$K$4:$O$4,0))</f>
        <v>9.7566572735568655E-4</v>
      </c>
      <c r="DN100" s="268">
        <f>INDEX($BQ$93:$CD$106,MATCH($CW100,$L$93:$L$106,0),MATCH(DN$94,$BQ$94:$CD$94,0))/INDEX(고양시_재차인원!$D$4:$H$35,MATCH("고양시",고양시_재차인원!$B$4:$B$35,0),MATCH('A.일산테크노밸리(859991)_수정'!$DN$93,고양시_재차인원!$D$4:$H$4,0))</f>
        <v>0.35380448626081051</v>
      </c>
      <c r="DO100" s="267">
        <f>INDEX($BQ$93:$CD$106,MATCH($CW100,$L$93:$L$106,0),MATCH(DO$94,$BQ$94:$CD$94,0))/INDEX(고양시_재차인원!$K$4:$O$20,MATCH("경기도",고양시_재차인원!$K$4:$K$20,0),MATCH('A.일산테크노밸리(859991)_수정'!DO$94,고양시_재차인원!$K$4:$O$4,0))</f>
        <v>1.4124896264938876E-3</v>
      </c>
      <c r="DP100" s="267">
        <f>INDEX($BQ$93:$CD$106,MATCH($CW100,$L$93:$L$106,0),MATCH(DP$94,$BQ$94:$CD$94,0))/INDEX(고양시_재차인원!$K$4:$O$20,MATCH("경기도",고양시_재차인원!$K$4:$K$20,0),MATCH('A.일산테크노밸리(859991)_수정'!DP$94,고양시_재차인원!$K$4:$O$4,0))</f>
        <v>4.717563743585132E-3</v>
      </c>
      <c r="DQ100" s="267">
        <f>INDEX($BQ$93:$CD$106,MATCH($CW100,$L$93:$L$106,0),MATCH(DQ$94,$BQ$94:$CD$94,0))/INDEX(고양시_재차인원!$K$4:$O$20,MATCH("경기도",고양시_재차인원!$K$4:$K$20,0),MATCH('A.일산테크노밸리(859991)_수정'!DQ$94,고양시_재차인원!$K$4:$O$4,0))</f>
        <v>3.3948602793955053E-4</v>
      </c>
      <c r="DR100" s="269">
        <f t="shared" si="60"/>
        <v>679.29752910430443</v>
      </c>
      <c r="DS100" s="270">
        <f t="shared" si="52"/>
        <v>5.7721374466235516E-3</v>
      </c>
      <c r="DT100" s="270">
        <f t="shared" si="53"/>
        <v>2.9897138469807607</v>
      </c>
      <c r="DU100" s="270">
        <f t="shared" si="54"/>
        <v>73.814753733451056</v>
      </c>
      <c r="DW100" s="278"/>
      <c r="DX100" s="278" t="s">
        <v>593</v>
      </c>
      <c r="DY100" s="281">
        <f t="shared" si="61"/>
        <v>753.11228283775552</v>
      </c>
      <c r="DZ100" s="281">
        <f t="shared" si="62"/>
        <v>2.9954859844273845</v>
      </c>
      <c r="EC100" s="412" t="s">
        <v>15</v>
      </c>
      <c r="ED100" s="412" t="s">
        <v>571</v>
      </c>
      <c r="EE100" s="412">
        <v>10713.892900000001</v>
      </c>
      <c r="EF100" s="412">
        <v>4.9759499124587728E-2</v>
      </c>
      <c r="EG100" s="413">
        <v>859007</v>
      </c>
      <c r="EH100" s="414">
        <f t="shared" si="55"/>
        <v>393.45841605091908</v>
      </c>
      <c r="EI100" s="415">
        <f t="shared" si="56"/>
        <v>1.5649713828786866</v>
      </c>
      <c r="EJ100" s="402">
        <v>0</v>
      </c>
      <c r="EM100" s="278" t="s">
        <v>15</v>
      </c>
      <c r="EN100" s="278" t="s">
        <v>571</v>
      </c>
      <c r="EO100" s="278">
        <v>10713.892900000001</v>
      </c>
      <c r="EP100" s="278">
        <v>4.9759499124587728E-2</v>
      </c>
      <c r="EQ100" s="289">
        <v>859007</v>
      </c>
      <c r="ER100" s="290">
        <f t="shared" si="37"/>
        <v>393.45841605091908</v>
      </c>
      <c r="ES100" s="291">
        <f t="shared" si="38"/>
        <v>1.5649713828786866</v>
      </c>
      <c r="ET100" s="402">
        <v>0</v>
      </c>
      <c r="EV100" s="34"/>
      <c r="EW100" s="34"/>
      <c r="EX100" s="34"/>
      <c r="EY100" s="34"/>
      <c r="EZ100" s="378"/>
      <c r="FA100" s="401"/>
      <c r="FB100" s="402"/>
      <c r="FC100" s="402"/>
    </row>
    <row r="101" spans="1:159" ht="37.5">
      <c r="A101" s="205" t="s">
        <v>491</v>
      </c>
      <c r="B101" s="203" t="s">
        <v>489</v>
      </c>
      <c r="C101" s="400">
        <f>'A.일산테크노밸리(859991)_수정'!$P34*KTDB_TripDistribution_2040!T$12 * (1+KTDB_발생량도착량_증가율!$D$8 *5) * (1+KTDB_발생량도착량_증가율!$E$8 *5) * (1+KTDB_발생량도착량_증가율!$F$8 *5)</f>
        <v>87.530011359900996</v>
      </c>
      <c r="D101" s="400">
        <f>'A.일산테크노밸리(859991)_수정'!$P34*KTDB_TripDistribution_2040!U$12 * (1+KTDB_발생량도착량_증가율!$D$8 *5) * (1+KTDB_발생량도착량_증가율!$E$8 *5) * (1+KTDB_발생량도착량_증가율!$F$8 *5)</f>
        <v>633.47259925032142</v>
      </c>
      <c r="E101" s="400">
        <f>'A.일산테크노밸리(859991)_수정'!$P34*KTDB_TripDistribution_2040!V$12 * (1+KTDB_발생량도착량_증가율!$D$8 *5) * (1+KTDB_발생량도착량_증가율!$E$8 *5) * (1+KTDB_발생량도착량_증가율!$F$8 *5)</f>
        <v>36.34075504263842</v>
      </c>
      <c r="F101" s="400">
        <f>'A.일산테크노밸리(859991)_수정'!$P34*KTDB_TripDistribution_2040!W$12 * (1+KTDB_발생량도착량_증가율!$D$8 *5) * (1+KTDB_발생량도착량_증가율!$E$8 *5) * (1+KTDB_발생량도착량_증가율!$F$8 *5)</f>
        <v>5.710962028701709E-2</v>
      </c>
      <c r="G101" s="400">
        <f>'A.일산테크노밸리(859991)_수정'!$P34*KTDB_TripDistribution_2040!X$12 * (1+KTDB_발생량도착량_증가율!$D$8 *5) * (1+KTDB_발생량도착량_증가율!$E$8 *5) * (1+KTDB_발생량도착량_증가율!$F$8 *5)</f>
        <v>0.21574745441761942</v>
      </c>
      <c r="H101" s="400">
        <f>'A.일산테크노밸리(859991)_수정'!$P34*KTDB_TripDistribution_2040!Y$12 * (1+KTDB_발생량도착량_증가율!$D$8 *5) * (1+KTDB_발생량도착량_증가율!$E$8 *5) * (1+KTDB_발생량도착량_증가율!$F$8 *5)</f>
        <v>757.61622272756574</v>
      </c>
      <c r="J101" s="230">
        <f t="shared" si="57"/>
        <v>757.61622272756551</v>
      </c>
      <c r="K101" s="206" t="s">
        <v>433</v>
      </c>
      <c r="L101" s="210" t="s">
        <v>484</v>
      </c>
      <c r="M101" s="213">
        <f>INDEX($A$94:$H$106,MATCH($L101,$B$94:$B$106,0),MATCH($M$93,$A$94:$H$94,0))*고양시_Modal_split!C$3 * 0.01</f>
        <v>0.24508403180772279</v>
      </c>
      <c r="N101" s="213">
        <f>INDEX($A$94:$H$106,MATCH($L101,$B$94:$B$106,0),MATCH($M$93,$A$94:$H$94,0))*고양시_Modal_split!D$3 * 0.01</f>
        <v>41.165364342561446</v>
      </c>
      <c r="O101" s="213">
        <f>INDEX($A$94:$H$106,MATCH($L101,$B$94:$B$106,0),MATCH($M$93,$A$94:$H$94,0))*고양시_Modal_split!E$3 * 0.01</f>
        <v>4.9804576463783663</v>
      </c>
      <c r="P101" s="213">
        <f>INDEX($A$94:$H$106,MATCH($L101,$B$94:$B$106,0),MATCH($M$93,$A$94:$H$94,0))*고양시_Modal_split!F$3 * 0.01</f>
        <v>8.0265020417029209</v>
      </c>
      <c r="Q101" s="213">
        <f>INDEX($A$94:$H$106,MATCH($L101,$B$94:$B$106,0),MATCH($M$93,$A$94:$H$94,0))*고양시_Modal_split!G$3 * 0.01</f>
        <v>0.80527610451108911</v>
      </c>
      <c r="R101" s="213">
        <f>INDEX($A$94:$H$106,MATCH($L101,$B$94:$B$106,0),MATCH($M$93,$A$94:$H$94,0))*고양시_Modal_split!H$3 * 0.01</f>
        <v>8.7530011359900992E-3</v>
      </c>
      <c r="S101" s="213">
        <f>INDEX($A$94:$H$106,MATCH($L101,$B$94:$B$106,0),MATCH($M$93,$A$94:$H$94,0))*고양시_Modal_split!I$3 * 0.01</f>
        <v>2.4333343158052476</v>
      </c>
      <c r="T101" s="213">
        <f>INDEX($A$94:$H$106,MATCH($L101,$B$94:$B$106,0),MATCH($M$93,$A$94:$H$94,0))*고양시_Modal_split!J$3 * 0.01</f>
        <v>26.644135457953865</v>
      </c>
      <c r="U101" s="213">
        <f>INDEX($A$94:$H$106,MATCH($L101,$B$94:$B$106,0),MATCH($M$93,$A$94:$H$94,0))*고양시_Modal_split!K$3 * 0.01</f>
        <v>0.1312950170398515</v>
      </c>
      <c r="V101" s="213">
        <f>INDEX($A$94:$H$106,MATCH($L101,$B$94:$B$106,0),MATCH($M$93,$A$94:$H$94,0))*고양시_Modal_split!L$3 * 0.01</f>
        <v>2.6434063430690098</v>
      </c>
      <c r="W101" s="213">
        <f>INDEX($A$94:$H$106,MATCH($L101,$B$94:$B$106,0),MATCH($M$93,$A$94:$H$94,0))*고양시_Modal_split!M$3 * 0.01</f>
        <v>0.20131902612777228</v>
      </c>
      <c r="X101" s="213">
        <f>INDEX($A$94:$H$106,MATCH($L101,$B$94:$B$106,0),MATCH($M$93,$A$94:$H$94,0))*고양시_Modal_split!N$3 * 0.01</f>
        <v>8.7530011359901003E-2</v>
      </c>
      <c r="Y101" s="213">
        <f>INDEX($A$94:$H$106,MATCH($L101,$B$94:$B$106,0),MATCH($M$93,$A$94:$H$94,0))*고양시_Modal_split!O$3 * 0.01</f>
        <v>0.1575540204478218</v>
      </c>
      <c r="Z101" s="213">
        <f>INDEX($A$94:$H$106,MATCH($L101,$B$94:$B$106,0),MATCH($M$93,$A$94:$H$94,0))*고양시_Modal_split!P$3 * 0.01</f>
        <v>87.530011359900996</v>
      </c>
      <c r="AA101" s="213">
        <f>INDEX($A$94:$H$106,MATCH($L101,$B$94:$B$106,0),MATCH($AA$93,$A$94:$H$94,0))*고양시_Modal_split!C$4 * 0.01</f>
        <v>192.82905921179787</v>
      </c>
      <c r="AB101" s="213">
        <f>INDEX($A$94:$H$106,MATCH($L101,$B$94:$B$106,0),MATCH($AA$93,$A$94:$H$94,0))*고양시_Modal_split!D$4 * 0.01</f>
        <v>203.15466257957809</v>
      </c>
      <c r="AC101" s="213">
        <f>INDEX($A$94:$H$106,MATCH($L101,$B$94:$B$106,0),MATCH($AA$93,$A$94:$H$94,0))*고양시_Modal_split!E$4 * 0.01</f>
        <v>49.220820961749979</v>
      </c>
      <c r="AD101" s="213">
        <f>INDEX($A$94:$H$106,MATCH($L101,$B$94:$B$106,0),MATCH($AA$93,$A$94:$H$94,0))*고양시_Modal_split!F$4 * 0.01</f>
        <v>6.0179896928780536</v>
      </c>
      <c r="AE101" s="213">
        <f>INDEX($A$94:$H$106,MATCH($L101,$B$94:$B$106,0),MATCH($AA$93,$A$94:$H$94,0))*고양시_Modal_split!G$4 * 0.01</f>
        <v>74.179641372212643</v>
      </c>
      <c r="AF101" s="213">
        <f>INDEX($A$94:$H$106,MATCH($L101,$B$94:$B$106,0),MATCH($AA$93,$A$94:$H$94,0))*고양시_Modal_split!H$4 * 0.01</f>
        <v>0</v>
      </c>
      <c r="AG101" s="213">
        <f>INDEX($A$94:$H$106,MATCH($L101,$B$94:$B$106,0),MATCH($AA$93,$A$94:$H$94,0))*고양시_Modal_split!I$4 * 0.01</f>
        <v>22.044846453911184</v>
      </c>
      <c r="AH101" s="213">
        <f>INDEX($A$94:$H$106,MATCH($L101,$B$94:$B$106,0),MATCH($AA$93,$A$94:$H$94,0))*고양시_Modal_split!J$4 * 0.01</f>
        <v>29.83655942469014</v>
      </c>
      <c r="AI101" s="213">
        <f>INDEX($A$94:$H$106,MATCH($L101,$B$94:$B$106,0),MATCH($AA$93,$A$94:$H$94,0))*고양시_Modal_split!K$4 * 0.01</f>
        <v>0</v>
      </c>
      <c r="AJ101" s="213">
        <f>INDEX($A$94:$H$106,MATCH($L101,$B$94:$B$106,0),MATCH($AA$93,$A$94:$H$94,0))*고양시_Modal_split!L$4 * 0.01</f>
        <v>29.26643408536485</v>
      </c>
      <c r="AK101" s="213">
        <f>INDEX($A$94:$H$106,MATCH($L101,$B$94:$B$106,0),MATCH($AA$93,$A$94:$H$94,0))*고양시_Modal_split!M$4 * 0.01</f>
        <v>4.2442664149771536</v>
      </c>
      <c r="AL101" s="213">
        <f>INDEX($A$94:$H$106,MATCH($L101,$B$94:$B$106,0),MATCH($AA$93,$A$94:$H$94,0))*고양시_Modal_split!N$4 * 0.01</f>
        <v>15.836814981258035</v>
      </c>
      <c r="AM101" s="213">
        <f>INDEX($A$94:$H$106,MATCH($L101,$B$94:$B$106,0),MATCH($AA$93,$A$94:$H$94,0))*고양시_Modal_split!O$4 * 0.01</f>
        <v>6.8415040719034721</v>
      </c>
      <c r="AN101" s="213">
        <f>INDEX($A$94:$H$106,MATCH($L101,$B$94:$B$106,0),MATCH($AA$93,$A$94:$H$94,0))*고양시_Modal_split!P$4 * 0.01</f>
        <v>633.47259925032142</v>
      </c>
      <c r="AO101" s="213">
        <f>INDEX($A$94:$H$106,MATCH($L101,$B$94:$B$106,0),MATCH($AO$93,$A$94:$H$94,0))*고양시_Modal_split!C$5 * 0.01</f>
        <v>2.1804453025583054E-2</v>
      </c>
      <c r="AP101" s="213">
        <f>INDEX($A$94:$H$106,MATCH($L101,$B$94:$B$106,0),MATCH($AO$93,$A$94:$H$94,0))*고양시_Modal_split!D$5 * 0.01</f>
        <v>26.630505295245435</v>
      </c>
      <c r="AQ101" s="213">
        <f>INDEX($A$94:$H$106,MATCH($L101,$B$94:$B$106,0),MATCH($AO$93,$A$94:$H$94,0))*고양시_Modal_split!E$5 * 0.01</f>
        <v>3.5795643716998842</v>
      </c>
      <c r="AR101" s="213">
        <f>INDEX($A$94:$H$106,MATCH($L101,$B$94:$B$106,0),MATCH($AO$93,$A$94:$H$94,0))*고양시_Modal_split!F$5 * 0.01</f>
        <v>0.76315585589540691</v>
      </c>
      <c r="AS101" s="213">
        <f>INDEX($A$94:$H$106,MATCH($L101,$B$94:$B$106,0),MATCH($AO$93,$A$94:$H$94,0))*고양시_Modal_split!G$5 * 0.01</f>
        <v>0.23621490777714976</v>
      </c>
      <c r="AT101" s="213">
        <f>INDEX($A$94:$H$106,MATCH($L101,$B$94:$B$106,0),MATCH($AO$93,$A$94:$H$94,0))*고양시_Modal_split!H$5 * 0.01</f>
        <v>2.5438528529846894E-2</v>
      </c>
      <c r="AU101" s="213">
        <f>INDEX($A$94:$H$106,MATCH($L101,$B$94:$B$106,0),MATCH($AO$93,$A$94:$H$94,0))*고양시_Modal_split!I$5 * 0.01</f>
        <v>1.0066389146810844</v>
      </c>
      <c r="AV101" s="213">
        <f>INDEX($A$94:$H$106,MATCH($L101,$B$94:$B$106,0),MATCH($AO$93,$A$94:$H$94,0))*고양시_Modal_split!J$5 * 0.01</f>
        <v>2.278565341173429</v>
      </c>
      <c r="AW101" s="213">
        <f>INDEX($A$94:$H$106,MATCH($L101,$B$94:$B$106,0),MATCH($AO$93,$A$94:$H$94,0))*고양시_Modal_split!K$5 * 0.01</f>
        <v>7.2681510085276851E-3</v>
      </c>
      <c r="AX101" s="213">
        <f>INDEX($A$94:$H$106,MATCH($L101,$B$94:$B$106,0),MATCH($AO$93,$A$94:$H$94,0))*고양시_Modal_split!L$5 * 0.01</f>
        <v>0.9266892535872796</v>
      </c>
      <c r="AY101" s="213">
        <f>INDEX($A$94:$H$106,MATCH($L101,$B$94:$B$106,0),MATCH($AO$93,$A$94:$H$94,0))*고양시_Modal_split!M$5 * 0.01</f>
        <v>0.24348305878567744</v>
      </c>
      <c r="AZ101" s="213">
        <f>INDEX($A$94:$H$106,MATCH($L101,$B$94:$B$106,0),MATCH($AO$93,$A$94:$H$94,0))*고양시_Modal_split!N$5 * 0.01</f>
        <v>6.1779283572485306E-2</v>
      </c>
      <c r="BA101" s="213">
        <f>INDEX($A$94:$H$106,MATCH($L101,$B$94:$B$106,0),MATCH($AO$93,$A$94:$H$94,0))*고양시_Modal_split!O$5 * 0.01</f>
        <v>0.55964762765663167</v>
      </c>
      <c r="BB101" s="213">
        <f>INDEX($A$94:$H$106,MATCH($L101,$B$94:$B$106,0),MATCH($AO$93,$A$94:$H$94,0))*고양시_Modal_split!P$5 * 0.01</f>
        <v>36.340755042638413</v>
      </c>
      <c r="BC101" s="213">
        <f>INDEX($A$94:$H$106,MATCH($L101,$B$94:$B$106,0),MATCH($BC$93,$A$94:$H$94,0))*고양시_Modal_split!C$6 * 0.01</f>
        <v>0</v>
      </c>
      <c r="BD101" s="207">
        <f>INDEX($A$94:$H$106,MATCH($L101,$B$94:$B$106,0),MATCH($BC$93,$A$94:$H$94,0))*고양시_Modal_split!D$6 * 0.01</f>
        <v>4.7292476559678845E-2</v>
      </c>
      <c r="BE101" s="207">
        <f>INDEX($A$94:$H$106,MATCH($L101,$B$94:$B$106,0),MATCH($BC$93,$A$94:$H$94,0))*고양시_Modal_split!E$6 * 0.01</f>
        <v>2.455713672341735E-4</v>
      </c>
      <c r="BF101" s="207">
        <f>INDEX($A$94:$H$106,MATCH($L101,$B$94:$B$106,0),MATCH($BC$93,$A$94:$H$94,0))*고양시_Modal_split!F$6 * 0.01</f>
        <v>6.9673736750160847E-4</v>
      </c>
      <c r="BG101" s="207">
        <f>INDEX($A$94:$H$106,MATCH($L101,$B$94:$B$106,0),MATCH($BC$93,$A$94:$H$94,0))*고양시_Modal_split!G$6 * 0.01</f>
        <v>0</v>
      </c>
      <c r="BH101" s="207">
        <f>INDEX($A$94:$H$106,MATCH($L101,$B$94:$B$106,0),MATCH($BC$93,$A$94:$H$94,0))*고양시_Modal_split!H$6 * 0.01</f>
        <v>3.0325208372406075E-3</v>
      </c>
      <c r="BI101" s="207">
        <f>INDEX($A$94:$H$106,MATCH($L101,$B$94:$B$106,0),MATCH($BC$93,$A$94:$H$94,0))*고양시_Modal_split!I$6 * 0.01</f>
        <v>2.0216805581604051E-3</v>
      </c>
      <c r="BJ101" s="207">
        <f>INDEX($A$94:$H$106,MATCH($L101,$B$94:$B$106,0),MATCH($BC$93,$A$94:$H$94,0))*고양시_Modal_split!J$6 * 0.01</f>
        <v>2.8212152421786441E-3</v>
      </c>
      <c r="BK101" s="207">
        <f>INDEX($A$94:$H$106,MATCH($L101,$B$94:$B$106,0),MATCH($BC$93,$A$94:$H$94,0))*고양시_Modal_split!K$6 * 0.01</f>
        <v>0</v>
      </c>
      <c r="BL101" s="207">
        <f>INDEX($A$94:$H$106,MATCH($L101,$B$94:$B$106,0),MATCH($BC$93,$A$94:$H$94,0))*고양시_Modal_split!L$6 * 0.01</f>
        <v>4.3403311418132987E-4</v>
      </c>
      <c r="BM101" s="207">
        <f>INDEX($A$94:$H$106,MATCH($L101,$B$94:$B$106,0),MATCH($BC$93,$A$94:$H$94,0))*고양시_Modal_split!M$6 * 0.01</f>
        <v>5.1969754461185557E-4</v>
      </c>
      <c r="BN101" s="207">
        <f>INDEX($A$94:$H$106,MATCH($L101,$B$94:$B$106,0),MATCH($BC$93,$A$94:$H$94,0))*고양시_Modal_split!N$6 * 0.01</f>
        <v>0</v>
      </c>
      <c r="BO101" s="207">
        <f>INDEX($A$94:$H$106,MATCH($L101,$B$94:$B$106,0),MATCH($BC$93,$A$94:$H$94,0))*고양시_Modal_split!O$6 * 0.01</f>
        <v>4.568769622961368E-5</v>
      </c>
      <c r="BP101" s="214">
        <f>INDEX($A$94:$H$106,MATCH($L101,$B$94:$B$106,0),MATCH($BC$93,$A$94:$H$94,0))*고양시_Modal_split!P$6 * 0.01</f>
        <v>5.710962028701709E-2</v>
      </c>
      <c r="BQ101" s="213">
        <f>INDEX($A$94:$H$106,MATCH($L101,$B$94:$B$106,0),MATCH($BQ$93,$A$94:$H$94,0))*고양시_Modal_split!C$7 * 0.01</f>
        <v>0</v>
      </c>
      <c r="BR101" s="213">
        <f>INDEX($A$94:$H$106,MATCH($L101,$B$94:$B$106,0),MATCH($BQ$93,$A$94:$H$94,0))*고양시_Modal_split!D$7 * 0.01</f>
        <v>0.13221004006711717</v>
      </c>
      <c r="BS101" s="213">
        <f>INDEX($A$94:$H$106,MATCH($L101,$B$94:$B$106,0),MATCH($BQ$93,$A$94:$H$94,0))*고양시_Modal_split!E$7 * 0.01</f>
        <v>6.4508488870868201E-3</v>
      </c>
      <c r="BT101" s="213">
        <f>INDEX($A$94:$H$106,MATCH($L101,$B$94:$B$106,0),MATCH($BQ$93,$A$94:$H$94,0))*고양시_Modal_split!F$7 * 0.01</f>
        <v>2.1574745441761941E-3</v>
      </c>
      <c r="BU101" s="213">
        <f>INDEX($A$94:$H$106,MATCH($L101,$B$94:$B$106,0),MATCH($BQ$93,$A$94:$H$94,0))*고양시_Modal_split!G$7 * 0.01</f>
        <v>9.061393085540015E-4</v>
      </c>
      <c r="BV101" s="213">
        <f>INDEX($A$94:$H$106,MATCH($L101,$B$94:$B$106,0),MATCH($BQ$93,$A$94:$H$94,0))*고양시_Modal_split!H$7 * 0.01</f>
        <v>1.2060282701944924E-2</v>
      </c>
      <c r="BW101" s="213">
        <f>INDEX($A$94:$H$106,MATCH($L101,$B$94:$B$106,0),MATCH($BQ$93,$A$94:$H$94,0))*고양시_Modal_split!I$7 * 0.01</f>
        <v>4.0280049739769556E-2</v>
      </c>
      <c r="BX101" s="213">
        <f>INDEX($A$94:$H$106,MATCH($L101,$B$94:$B$106,0),MATCH($BQ$93,$A$94:$H$94,0))*고양시_Modal_split!J$7 * 0.01</f>
        <v>4.3149490883523882E-5</v>
      </c>
      <c r="BY101" s="213">
        <f>INDEX($A$94:$H$106,MATCH($L101,$B$94:$B$106,0),MATCH($BQ$93,$A$94:$H$94,0))*고양시_Modal_split!K$7 * 0.01</f>
        <v>1.6612553990156695E-2</v>
      </c>
      <c r="BZ101" s="213">
        <f>INDEX($A$94:$H$106,MATCH($L101,$B$94:$B$106,0),MATCH($BQ$93,$A$94:$H$94,0))*고양시_Modal_split!L$7 * 0.01</f>
        <v>1.5102321809233357E-4</v>
      </c>
      <c r="CA101" s="213">
        <f>INDEX($A$94:$H$106,MATCH($L101,$B$94:$B$106,0),MATCH($BQ$93,$A$94:$H$94,0))*고양시_Modal_split!M$7 * 0.01</f>
        <v>4.0344773976094834E-3</v>
      </c>
      <c r="CB101" s="213">
        <f>INDEX($A$94:$H$106,MATCH($L101,$B$94:$B$106,0),MATCH($BQ$93,$A$94:$H$94,0))*고양시_Modal_split!N$7 * 0.01</f>
        <v>8.4141507222871561E-4</v>
      </c>
      <c r="CC101" s="213">
        <f>INDEX($A$94:$H$106,MATCH($L101,$B$94:$B$106,0),MATCH($BQ$93,$A$94:$H$94,0))*고양시_Modal_split!O$7 * 0.01</f>
        <v>0</v>
      </c>
      <c r="CD101" s="213">
        <f>INDEX($A$94:$H$106,MATCH($L101,$B$94:$B$106,0),MATCH($BQ$93,$A$94:$H$94,0))*고양시_Modal_split!P$7 * 0.01</f>
        <v>0.21574745441761942</v>
      </c>
      <c r="CE101" s="218">
        <f t="shared" si="58"/>
        <v>193.09594769663119</v>
      </c>
      <c r="CF101" s="208">
        <f t="shared" si="39"/>
        <v>271.13003473401176</v>
      </c>
      <c r="CG101" s="208">
        <f t="shared" si="40"/>
        <v>57.787539400082551</v>
      </c>
      <c r="CH101" s="208">
        <f t="shared" si="41"/>
        <v>14.81050180238806</v>
      </c>
      <c r="CI101" s="208">
        <f t="shared" si="42"/>
        <v>75.222038523809445</v>
      </c>
      <c r="CJ101" s="208">
        <f t="shared" si="43"/>
        <v>4.9284333205022526E-2</v>
      </c>
      <c r="CK101" s="208">
        <f t="shared" si="44"/>
        <v>25.527121414695447</v>
      </c>
      <c r="CL101" s="208">
        <f t="shared" si="45"/>
        <v>58.762124588550492</v>
      </c>
      <c r="CM101" s="208">
        <f t="shared" si="46"/>
        <v>0.15517572203853586</v>
      </c>
      <c r="CN101" s="208">
        <f t="shared" si="47"/>
        <v>32.837114738353414</v>
      </c>
      <c r="CO101" s="208">
        <f t="shared" si="48"/>
        <v>4.6936226748328247</v>
      </c>
      <c r="CP101" s="208">
        <f t="shared" si="49"/>
        <v>15.98696569126265</v>
      </c>
      <c r="CQ101" s="208">
        <f t="shared" si="50"/>
        <v>7.5587514077041549</v>
      </c>
      <c r="CR101" s="219">
        <f t="shared" si="51"/>
        <v>757.61622272756551</v>
      </c>
      <c r="CS101" s="225">
        <f t="shared" si="59"/>
        <v>0</v>
      </c>
      <c r="CV101" s="265" t="s">
        <v>433</v>
      </c>
      <c r="CW101" s="271" t="s">
        <v>484</v>
      </c>
      <c r="CX101" s="267">
        <f>INDEX($M$93:$Z$106,MATCH($CW101,$L$93:$L$106,0),MATCH(CX$94,$M$94:$Z$94,0))/INDEX(고양시_재차인원!$D$4:$H$35,MATCH("고양시",고양시_재차인원!$B$4:$B$35,0),MATCH('A.일산테크노밸리(859991)_수정'!$CX$93,고양시_재차인원!$D$4:$H$4,0))</f>
        <v>36.754789591572717</v>
      </c>
      <c r="CY101" s="267">
        <f>INDEX($M$93:$Z$106,MATCH($CW101,$L$93:$L$106,0),MATCH(CY$94,$M$94:$Z$94,0))/INDEX(고양시_재차인원!$K$4:$O$20,MATCH("경기도",고양시_재차인원!$K$4:$K$20,0),MATCH('A.일산테크노밸리(859991)_수정'!CY$94,고양시_재차인원!$K$4:$O$4,0))</f>
        <v>3.0402921625530044E-4</v>
      </c>
      <c r="CZ101" s="267">
        <f>INDEX($M$93:$Z$106,MATCH($CW101,$L$93:$L$106,0),MATCH(CZ$94,$M$94:$Z$94,0))/INDEX(고양시_재차인원!$K$4:$O$20,MATCH("경기도",고양시_재차인원!$K$4:$K$20,0),MATCH('A.일산테크노밸리(859991)_수정'!CZ$94,고양시_재차인원!$K$4:$O$4,0))</f>
        <v>8.4520122118973529E-2</v>
      </c>
      <c r="DA101" s="267">
        <f>INDEX($M$93:$Z$106,MATCH($CW101,$L$93:$L$106,0),MATCH(DA$94,$M$94:$Z$94,0))/INDEX(고양시_재차인원!$K$4:$O$20,MATCH("경기도",고양시_재차인원!$K$4:$K$20,0),MATCH('A.일산테크노밸리(859991)_수정'!DA$94,고양시_재차인원!$K$4:$O$4,0))</f>
        <v>1.7622708953793398</v>
      </c>
      <c r="DB101" s="268">
        <f>INDEX($AA$93:$AN$106,MATCH($CW101,$L$93:$L$106,0),MATCH(DB$94,$AA$94:$AN$94,0))/INDEX(고양시_재차인원!$D$4:$H$35,MATCH("고양시",고양시_재차인원!$B$4:$B$35,0),MATCH('A.일산테크노밸리(859991)_수정'!$DB$93,고양시_재차인원!$D$4:$H$4,0))</f>
        <v>144.08132097842417</v>
      </c>
      <c r="DC101" s="267">
        <f>INDEX($AA$93:$AN$106,MATCH($CW101,$L$93:$L$106,0),MATCH(DC$94,$AA$94:$AN$94,0))/INDEX(고양시_재차인원!$K$4:$O$20,MATCH("경기도",고양시_재차인원!$K$4:$K$20,0),MATCH('A.일산테크노밸리(859991)_수정'!DC$94,고양시_재차인원!$K$4:$O$4,0))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1" s="267">
        <f>INDEX($AA$93:$AN$106,MATCH($CW101,$L$93:$L$106,0),MATCH(DD$94,$AA$94:$AN$94,0))/INDEX(고양시_재차인원!$K$4:$O$20,MATCH("경기도",고양시_재차인원!$K$4:$K$20,0),MATCH('A.일산테크노밸리(859991)_수정'!DD$94,고양시_재차인원!$K$4:$O$4,0))</f>
        <v>0.76571192962525825</v>
      </c>
      <c r="DE101" s="267">
        <f>INDEX($AA$93:$AN$106,MATCH($CW101,$L$93:$L$106,0),MATCH(DE$94,$AA$94:$AN$94,0))/INDEX(고양시_재차인원!$K$4:$O$20,MATCH("경기도",고양시_재차인원!$K$4:$K$20,0),MATCH('A.일산테크노밸리(859991)_수정'!DE$94,고양시_재차인원!$K$4:$O$4,0))</f>
        <v>19.510956056909901</v>
      </c>
      <c r="DF101" s="268">
        <f>INDEX($AO$93:$BB$106,MATCH($CW101,$L$93:$L$106,0),MATCH(DF$94,$AO$94:$BB$94,0))/INDEX(고양시_재차인원!$D$4:$H$35,MATCH("고양시",고양시_재차인원!$B$4:$B$35,0),MATCH('A.일산테크노밸리(859991)_수정'!$DF$93,고양시_재차인원!$D$4:$H$4,0))</f>
        <v>20.485004073265717</v>
      </c>
      <c r="DG101" s="267">
        <f>INDEX($AO$93:$BB$106,MATCH($CW101,$L$93:$L$106,0),MATCH(DG$94,$AO$94:$BB$94,0))/INDEX(고양시_재차인원!$K$4:$O$20,MATCH("경기도",고양시_재차인원!$K$4:$K$20,0),MATCH('A.일산테크노밸리(859991)_수정'!DG$94,고양시_재차인원!$K$4:$O$4,0))</f>
        <v>8.835890423705069E-4</v>
      </c>
      <c r="DH101" s="267">
        <f>INDEX($AO$93:$BB$106,MATCH($CW101,$L$93:$L$106,0),MATCH(DH$94,$AO$94:$BB$94,0))/INDEX(고양시_재차인원!$K$4:$O$20,MATCH("경기도",고양시_재차인원!$K$4:$K$20,0),MATCH('A.일산테크노밸리(859991)_수정'!DH$94,고양시_재차인원!$K$4:$O$4,0))</f>
        <v>3.4964880676661494E-2</v>
      </c>
      <c r="DI101" s="267">
        <f>INDEX($AO$93:$BB$106,MATCH($CW101,$L$93:$L$106,0),MATCH(DI$94,$AO$94:$BB$94,0))/INDEX(고양시_재차인원!$K$4:$O$20,MATCH("경기도",고양시_재차인원!$K$4:$K$20,0),MATCH('A.일산테크노밸리(859991)_수정'!DI$94,고양시_재차인원!$K$4:$O$4,0))</f>
        <v>0.61779283572485311</v>
      </c>
      <c r="DJ101" s="268">
        <f>INDEX($BC$93:$BP$106,MATCH($CW101,$L$93:$L$106,0),MATCH(DJ$94,$BC$94:$BP$94,0))/INDEX(고양시_재차인원!$D$4:$H$35,MATCH("고양시",고양시_재차인원!$B$4:$B$35,0),MATCH('A.일산테크노밸리(859991)_수정'!$DJ$93,고양시_재차인원!$D$4:$H$4,0))</f>
        <v>3.4773879823293267E-2</v>
      </c>
      <c r="DK101" s="267">
        <f>INDEX($BC$93:$BP$106,MATCH($CW101,$L$93:$L$106,0),MATCH(DK$94,$BC$94:$BP$94,0))/INDEX(고양시_재차인원!$K$4:$O$20,MATCH("경기도",고양시_재차인원!$K$4:$K$20,0),MATCH('A.일산테크노밸리(859991)_수정'!DK$94,고양시_재차인원!$K$4:$O$4,0))</f>
        <v>1.0533243616674567E-4</v>
      </c>
      <c r="DL101" s="267">
        <f>INDEX($BC$93:$BP$106,MATCH($CW101,$L$93:$L$106,0),MATCH(DL$94,$BC$94:$BP$94,0))/INDEX(고양시_재차인원!$K$4:$O$20,MATCH("경기도",고양시_재차인원!$K$4:$K$20,0),MATCH('A.일산테크노밸리(859991)_수정'!DL$94,고양시_재차인원!$K$4:$O$4,0))</f>
        <v>7.0221624111163782E-5</v>
      </c>
      <c r="DM101" s="267">
        <f>INDEX($BC$93:$BP$106,MATCH($CW101,$L$93:$L$106,0),MATCH(DM$94,$BC$94:$BP$94,0))/INDEX(고양시_재차인원!$K$4:$O$20,MATCH("경기도",고양시_재차인원!$K$4:$K$20,0),MATCH('A.일산테크노밸리(859991)_수정'!DM$94,고양시_재차인원!$K$4:$O$4,0))</f>
        <v>2.8935540945421992E-4</v>
      </c>
      <c r="DN101" s="268">
        <f>INDEX($BQ$93:$CD$106,MATCH($CW101,$L$93:$L$106,0),MATCH(DN$94,$BQ$94:$CD$94,0))/INDEX(고양시_재차인원!$D$4:$H$35,MATCH("고양시",고양시_재차인원!$B$4:$B$35,0),MATCH('A.일산테크노밸리(859991)_수정'!$DN$93,고양시_재차인원!$D$4:$H$4,0))</f>
        <v>0.10492860322787077</v>
      </c>
      <c r="DO101" s="267">
        <f>INDEX($BQ$93:$CD$106,MATCH($CW101,$L$93:$L$106,0),MATCH(DO$94,$BQ$94:$CD$94,0))/INDEX(고양시_재차인원!$K$4:$O$20,MATCH("경기도",고양시_재차인원!$K$4:$K$20,0),MATCH('A.일산테크노밸리(859991)_수정'!DO$94,고양시_재차인원!$K$4:$O$4,0))</f>
        <v>4.1890526925824679E-4</v>
      </c>
      <c r="DP101" s="267">
        <f>INDEX($BQ$93:$CD$106,MATCH($CW101,$L$93:$L$106,0),MATCH(DP$94,$BQ$94:$CD$94,0))/INDEX(고양시_재차인원!$K$4:$O$20,MATCH("경기도",고양시_재차인원!$K$4:$K$20,0),MATCH('A.일산테크노밸리(859991)_수정'!DP$94,고양시_재차인원!$K$4:$O$4,0))</f>
        <v>1.3990986363240554E-3</v>
      </c>
      <c r="DQ101" s="267">
        <f>INDEX($BQ$93:$CD$106,MATCH($CW101,$L$93:$L$106,0),MATCH(DQ$94,$BQ$94:$CD$94,0))/INDEX(고양시_재차인원!$K$4:$O$20,MATCH("경기도",고양시_재차인원!$K$4:$K$20,0),MATCH('A.일산테크노밸리(859991)_수정'!DQ$94,고양시_재차인원!$K$4:$O$4,0))</f>
        <v>1.0068214539488905E-4</v>
      </c>
      <c r="DR101" s="269">
        <f t="shared" si="60"/>
        <v>201.46081712631377</v>
      </c>
      <c r="DS101" s="270">
        <f t="shared" si="52"/>
        <v>1.7118559640507997E-3</v>
      </c>
      <c r="DT101" s="270">
        <f t="shared" si="53"/>
        <v>0.88666625268132848</v>
      </c>
      <c r="DU101" s="270">
        <f t="shared" si="54"/>
        <v>21.891409825568942</v>
      </c>
      <c r="DW101" s="278"/>
      <c r="DX101" s="278" t="s">
        <v>596</v>
      </c>
      <c r="DY101" s="281">
        <f>SUM(DR101:DR103)+SUM(DU101:DU103)</f>
        <v>966.9243392916934</v>
      </c>
      <c r="DZ101" s="281">
        <f>SUM(DS101:DS103)+SUM(DT101:DT103)</f>
        <v>3.8459182944622832</v>
      </c>
      <c r="EC101" s="412" t="s">
        <v>15</v>
      </c>
      <c r="ED101" s="412" t="s">
        <v>572</v>
      </c>
      <c r="EE101" s="412">
        <v>10028.5581</v>
      </c>
      <c r="EF101" s="412">
        <v>4.6576536899844041E-2</v>
      </c>
      <c r="EG101" s="413">
        <v>859008</v>
      </c>
      <c r="EH101" s="414">
        <f t="shared" si="55"/>
        <v>368.29009045821374</v>
      </c>
      <c r="EI101" s="415">
        <f t="shared" si="56"/>
        <v>1.4648649734062817</v>
      </c>
      <c r="EJ101" s="402">
        <v>0</v>
      </c>
      <c r="EM101" s="278" t="s">
        <v>15</v>
      </c>
      <c r="EN101" s="278" t="s">
        <v>572</v>
      </c>
      <c r="EO101" s="278">
        <v>10028.5581</v>
      </c>
      <c r="EP101" s="278">
        <v>4.6576536899844041E-2</v>
      </c>
      <c r="EQ101" s="289">
        <v>859008</v>
      </c>
      <c r="ER101" s="290">
        <f t="shared" si="37"/>
        <v>368.29009045821374</v>
      </c>
      <c r="ES101" s="291">
        <f t="shared" si="38"/>
        <v>1.4648649734062817</v>
      </c>
      <c r="ET101" s="402">
        <v>0</v>
      </c>
      <c r="EV101" s="34"/>
      <c r="EW101" s="34"/>
      <c r="EX101" s="34"/>
      <c r="EY101" s="34"/>
      <c r="EZ101" s="378"/>
      <c r="FA101" s="401"/>
      <c r="FB101" s="402"/>
      <c r="FC101" s="402"/>
    </row>
    <row r="102" spans="1:159" ht="25">
      <c r="A102" s="205" t="s">
        <v>491</v>
      </c>
      <c r="B102" s="203" t="s">
        <v>490</v>
      </c>
      <c r="C102" s="400">
        <f>'A.일산테크노밸리(859991)_수정'!$P35*KTDB_TripDistribution_2040!T$12 * (1+KTDB_발생량도착량_증가율!$D$8 *5) * (1+KTDB_발생량도착량_증가율!$E$8 *5) * (1+KTDB_발생량도착량_증가율!$F$8 *5)</f>
        <v>67.296943407361084</v>
      </c>
      <c r="D102" s="400">
        <f>'A.일산테크노밸리(859991)_수정'!$P35*KTDB_TripDistribution_2040!U$12 * (1+KTDB_발생량도착량_증가율!$D$8 *5) * (1+KTDB_발생량도착량_증가율!$E$8 *5) * (1+KTDB_발생량도착량_증가율!$F$8 *5)</f>
        <v>487.0417471623075</v>
      </c>
      <c r="E102" s="400">
        <f>'A.일산테크노밸리(859991)_수정'!$P35*KTDB_TripDistribution_2040!V$12 * (1+KTDB_발생량도착량_증가율!$D$8 *5) * (1+KTDB_발생량도착량_증가율!$E$8 *5) * (1+KTDB_발생량도착량_증가율!$F$8 *5)</f>
        <v>27.940379505144112</v>
      </c>
      <c r="F102" s="400">
        <f>'A.일산테크노밸리(859991)_수정'!$P35*KTDB_TripDistribution_2040!W$12 * (1+KTDB_발생량도착량_증가율!$D$8 *5) * (1+KTDB_발생량도착량_증가율!$E$8 *5) * (1+KTDB_발생량도착량_증가율!$F$8 *5)</f>
        <v>4.39084015272041E-2</v>
      </c>
      <c r="G102" s="400">
        <f>'A.일산테크노밸리(859991)_수정'!$P35*KTDB_TripDistribution_2040!X$12 * (1+KTDB_발생량도착량_증가율!$D$8 *5) * (1+KTDB_발생량도착량_증가율!$E$8 *5) * (1+KTDB_발생량도착량_증가율!$F$8 *5)</f>
        <v>0.16587618354721492</v>
      </c>
      <c r="H102" s="400">
        <f>'A.일산테크노밸리(859991)_수정'!$P35*KTDB_TripDistribution_2040!Y$12 * (1+KTDB_발생량도착량_증가율!$D$8 *5) * (1+KTDB_발생량도착량_증가율!$E$8 *5) * (1+KTDB_발생량도착량_증가율!$F$8 *5)</f>
        <v>582.48885465988712</v>
      </c>
      <c r="J102" s="230">
        <f t="shared" si="57"/>
        <v>582.48885465988724</v>
      </c>
      <c r="K102" s="206"/>
      <c r="L102" s="210" t="s">
        <v>486</v>
      </c>
      <c r="M102" s="213">
        <f>INDEX($A$94:$H$106,MATCH($L102,$B$94:$B$106,0),MATCH($M$93,$A$94:$H$94,0))*고양시_Modal_split!C$3 * 0.01</f>
        <v>0.18843144154061101</v>
      </c>
      <c r="N102" s="213">
        <f>INDEX($A$94:$H$106,MATCH($L102,$B$94:$B$106,0),MATCH($M$93,$A$94:$H$94,0))*고양시_Modal_split!D$3 * 0.01</f>
        <v>31.649752484481919</v>
      </c>
      <c r="O102" s="213">
        <f>INDEX($A$94:$H$106,MATCH($L102,$B$94:$B$106,0),MATCH($M$93,$A$94:$H$94,0))*고양시_Modal_split!E$3 * 0.01</f>
        <v>3.8291960798788454</v>
      </c>
      <c r="P102" s="213">
        <f>INDEX($A$94:$H$106,MATCH($L102,$B$94:$B$106,0),MATCH($M$93,$A$94:$H$94,0))*고양시_Modal_split!F$3 * 0.01</f>
        <v>6.1711297104550118</v>
      </c>
      <c r="Q102" s="213">
        <f>INDEX($A$94:$H$106,MATCH($L102,$B$94:$B$106,0),MATCH($M$93,$A$94:$H$94,0))*고양시_Modal_split!G$3 * 0.01</f>
        <v>0.61913187934772196</v>
      </c>
      <c r="R102" s="213">
        <f>INDEX($A$94:$H$106,MATCH($L102,$B$94:$B$106,0),MATCH($M$93,$A$94:$H$94,0))*고양시_Modal_split!H$3 * 0.01</f>
        <v>6.7296943407361091E-3</v>
      </c>
      <c r="S102" s="213">
        <f>INDEX($A$94:$H$106,MATCH($L102,$B$94:$B$106,0),MATCH($M$93,$A$94:$H$94,0))*고양시_Modal_split!I$3 * 0.01</f>
        <v>1.870855026724638</v>
      </c>
      <c r="T102" s="213">
        <f>INDEX($A$94:$H$106,MATCH($L102,$B$94:$B$106,0),MATCH($M$93,$A$94:$H$94,0))*고양시_Modal_split!J$3 * 0.01</f>
        <v>20.485189573200714</v>
      </c>
      <c r="U102" s="213">
        <f>INDEX($A$94:$H$106,MATCH($L102,$B$94:$B$106,0),MATCH($M$93,$A$94:$H$94,0))*고양시_Modal_split!K$3 * 0.01</f>
        <v>0.10094541511104163</v>
      </c>
      <c r="V102" s="213">
        <f>INDEX($A$94:$H$106,MATCH($L102,$B$94:$B$106,0),MATCH($M$93,$A$94:$H$94,0))*고양시_Modal_split!L$3 * 0.01</f>
        <v>2.0323676909023045</v>
      </c>
      <c r="W102" s="213">
        <f>INDEX($A$94:$H$106,MATCH($L102,$B$94:$B$106,0),MATCH($M$93,$A$94:$H$94,0))*고양시_Modal_split!M$3 * 0.01</f>
        <v>0.15478296983693049</v>
      </c>
      <c r="X102" s="213">
        <f>INDEX($A$94:$H$106,MATCH($L102,$B$94:$B$106,0),MATCH($M$93,$A$94:$H$94,0))*고양시_Modal_split!N$3 * 0.01</f>
        <v>6.7296943407361087E-2</v>
      </c>
      <c r="Y102" s="213">
        <f>INDEX($A$94:$H$106,MATCH($L102,$B$94:$B$106,0),MATCH($M$93,$A$94:$H$94,0))*고양시_Modal_split!O$3 * 0.01</f>
        <v>0.12113449813324995</v>
      </c>
      <c r="Z102" s="213">
        <f>INDEX($A$94:$H$106,MATCH($L102,$B$94:$B$106,0),MATCH($M$93,$A$94:$H$94,0))*고양시_Modal_split!P$3 * 0.01</f>
        <v>67.296943407361084</v>
      </c>
      <c r="AA102" s="213">
        <f>INDEX($A$94:$H$106,MATCH($L102,$B$94:$B$106,0),MATCH($AA$93,$A$94:$H$94,0))*고양시_Modal_split!C$4 * 0.01</f>
        <v>148.25550783620642</v>
      </c>
      <c r="AB102" s="213">
        <f>INDEX($A$94:$H$106,MATCH($L102,$B$94:$B$106,0),MATCH($AA$93,$A$94:$H$94,0))*고양시_Modal_split!D$4 * 0.01</f>
        <v>156.19428831495202</v>
      </c>
      <c r="AC102" s="213">
        <f>INDEX($A$94:$H$106,MATCH($L102,$B$94:$B$106,0),MATCH($AA$93,$A$94:$H$94,0))*고양시_Modal_split!E$4 * 0.01</f>
        <v>37.843143754511296</v>
      </c>
      <c r="AD102" s="213">
        <f>INDEX($A$94:$H$106,MATCH($L102,$B$94:$B$106,0),MATCH($AA$93,$A$94:$H$94,0))*고양시_Modal_split!F$4 * 0.01</f>
        <v>4.6268965980419212</v>
      </c>
      <c r="AE102" s="213">
        <f>INDEX($A$94:$H$106,MATCH($L102,$B$94:$B$106,0),MATCH($AA$93,$A$94:$H$94,0))*고양시_Modal_split!G$4 * 0.01</f>
        <v>57.032588592706205</v>
      </c>
      <c r="AF102" s="213">
        <f>INDEX($A$94:$H$106,MATCH($L102,$B$94:$B$106,0),MATCH($AA$93,$A$94:$H$94,0))*고양시_Modal_split!H$4 * 0.01</f>
        <v>0</v>
      </c>
      <c r="AG102" s="213">
        <f>INDEX($A$94:$H$106,MATCH($L102,$B$94:$B$106,0),MATCH($AA$93,$A$94:$H$94,0))*고양시_Modal_split!I$4 * 0.01</f>
        <v>16.9490528012483</v>
      </c>
      <c r="AH102" s="213">
        <f>INDEX($A$94:$H$106,MATCH($L102,$B$94:$B$106,0),MATCH($AA$93,$A$94:$H$94,0))*고양시_Modal_split!J$4 * 0.01</f>
        <v>22.939666291344682</v>
      </c>
      <c r="AI102" s="213">
        <f>INDEX($A$94:$H$106,MATCH($L102,$B$94:$B$106,0),MATCH($AA$93,$A$94:$H$94,0))*고양시_Modal_split!K$4 * 0.01</f>
        <v>0</v>
      </c>
      <c r="AJ102" s="213">
        <f>INDEX($A$94:$H$106,MATCH($L102,$B$94:$B$106,0),MATCH($AA$93,$A$94:$H$94,0))*고양시_Modal_split!L$4 * 0.01</f>
        <v>22.501328718898609</v>
      </c>
      <c r="AK102" s="213">
        <f>INDEX($A$94:$H$106,MATCH($L102,$B$94:$B$106,0),MATCH($AA$93,$A$94:$H$94,0))*고양시_Modal_split!M$4 * 0.01</f>
        <v>3.2631797059874605</v>
      </c>
      <c r="AL102" s="213">
        <f>INDEX($A$94:$H$106,MATCH($L102,$B$94:$B$106,0),MATCH($AA$93,$A$94:$H$94,0))*고양시_Modal_split!N$4 * 0.01</f>
        <v>12.176043679057688</v>
      </c>
      <c r="AM102" s="213">
        <f>INDEX($A$94:$H$106,MATCH($L102,$B$94:$B$106,0),MATCH($AA$93,$A$94:$H$94,0))*고양시_Modal_split!O$4 * 0.01</f>
        <v>5.2600508693529218</v>
      </c>
      <c r="AN102" s="213">
        <f>INDEX($A$94:$H$106,MATCH($L102,$B$94:$B$106,0),MATCH($AA$93,$A$94:$H$94,0))*고양시_Modal_split!P$4 * 0.01</f>
        <v>487.0417471623075</v>
      </c>
      <c r="AO102" s="213">
        <f>INDEX($A$94:$H$106,MATCH($L102,$B$94:$B$106,0),MATCH($AO$93,$A$94:$H$94,0))*고양시_Modal_split!C$5 * 0.01</f>
        <v>1.6764227703086467E-2</v>
      </c>
      <c r="AP102" s="213">
        <f>INDEX($A$94:$H$106,MATCH($L102,$B$94:$B$106,0),MATCH($AO$93,$A$94:$H$94,0))*고양시_Modal_split!D$5 * 0.01</f>
        <v>20.474710101369606</v>
      </c>
      <c r="AQ102" s="213">
        <f>INDEX($A$94:$H$106,MATCH($L102,$B$94:$B$106,0),MATCH($AO$93,$A$94:$H$94,0))*고양시_Modal_split!E$5 * 0.01</f>
        <v>2.7521273812566949</v>
      </c>
      <c r="AR102" s="213">
        <f>INDEX($A$94:$H$106,MATCH($L102,$B$94:$B$106,0),MATCH($AO$93,$A$94:$H$94,0))*고양시_Modal_split!F$5 * 0.01</f>
        <v>0.58674796960802644</v>
      </c>
      <c r="AS102" s="213">
        <f>INDEX($A$94:$H$106,MATCH($L102,$B$94:$B$106,0),MATCH($AO$93,$A$94:$H$94,0))*고양시_Modal_split!G$5 * 0.01</f>
        <v>0.18161246678343673</v>
      </c>
      <c r="AT102" s="213">
        <f>INDEX($A$94:$H$106,MATCH($L102,$B$94:$B$106,0),MATCH($AO$93,$A$94:$H$94,0))*고양시_Modal_split!H$5 * 0.01</f>
        <v>1.9558265653600877E-2</v>
      </c>
      <c r="AU102" s="213">
        <f>INDEX($A$94:$H$106,MATCH($L102,$B$94:$B$106,0),MATCH($AO$93,$A$94:$H$94,0))*고양시_Modal_split!I$5 * 0.01</f>
        <v>0.77394851229249184</v>
      </c>
      <c r="AV102" s="213">
        <f>INDEX($A$94:$H$106,MATCH($L102,$B$94:$B$106,0),MATCH($AO$93,$A$94:$H$94,0))*고양시_Modal_split!J$5 * 0.01</f>
        <v>1.7518617949725359</v>
      </c>
      <c r="AW102" s="213">
        <f>INDEX($A$94:$H$106,MATCH($L102,$B$94:$B$106,0),MATCH($AO$93,$A$94:$H$94,0))*고양시_Modal_split!K$5 * 0.01</f>
        <v>5.5880759010288232E-3</v>
      </c>
      <c r="AX102" s="213">
        <f>INDEX($A$94:$H$106,MATCH($L102,$B$94:$B$106,0),MATCH($AO$93,$A$94:$H$94,0))*고양시_Modal_split!L$5 * 0.01</f>
        <v>0.71247967738117479</v>
      </c>
      <c r="AY102" s="213">
        <f>INDEX($A$94:$H$106,MATCH($L102,$B$94:$B$106,0),MATCH($AO$93,$A$94:$H$94,0))*고양시_Modal_split!M$5 * 0.01</f>
        <v>0.18720054268446557</v>
      </c>
      <c r="AZ102" s="213">
        <f>INDEX($A$94:$H$106,MATCH($L102,$B$94:$B$106,0),MATCH($AO$93,$A$94:$H$94,0))*고양시_Modal_split!N$5 * 0.01</f>
        <v>4.7498645158744981E-2</v>
      </c>
      <c r="BA102" s="213">
        <f>INDEX($A$94:$H$106,MATCH($L102,$B$94:$B$106,0),MATCH($AO$93,$A$94:$H$94,0))*고양시_Modal_split!O$5 * 0.01</f>
        <v>0.43028184437921929</v>
      </c>
      <c r="BB102" s="213">
        <f>INDEX($A$94:$H$106,MATCH($L102,$B$94:$B$106,0),MATCH($AO$93,$A$94:$H$94,0))*고양시_Modal_split!P$5 * 0.01</f>
        <v>27.940379505144108</v>
      </c>
      <c r="BC102" s="213">
        <f>INDEX($A$94:$H$106,MATCH($L102,$B$94:$B$106,0),MATCH($BC$93,$A$94:$H$94,0))*고양시_Modal_split!C$6 * 0.01</f>
        <v>0</v>
      </c>
      <c r="BD102" s="207">
        <f>INDEX($A$94:$H$106,MATCH($L102,$B$94:$B$106,0),MATCH($BC$93,$A$94:$H$94,0))*고양시_Modal_split!D$6 * 0.01</f>
        <v>3.6360547304677707E-2</v>
      </c>
      <c r="BE102" s="207">
        <f>INDEX($A$94:$H$106,MATCH($L102,$B$94:$B$106,0),MATCH($BC$93,$A$94:$H$94,0))*고양시_Modal_split!E$6 * 0.01</f>
        <v>1.8880612656697765E-4</v>
      </c>
      <c r="BF102" s="207">
        <f>INDEX($A$94:$H$106,MATCH($L102,$B$94:$B$106,0),MATCH($BC$93,$A$94:$H$94,0))*고양시_Modal_split!F$6 * 0.01</f>
        <v>5.3568249863189001E-4</v>
      </c>
      <c r="BG102" s="207">
        <f>INDEX($A$94:$H$106,MATCH($L102,$B$94:$B$106,0),MATCH($BC$93,$A$94:$H$94,0))*고양시_Modal_split!G$6 * 0.01</f>
        <v>0</v>
      </c>
      <c r="BH102" s="207">
        <f>INDEX($A$94:$H$106,MATCH($L102,$B$94:$B$106,0),MATCH($BC$93,$A$94:$H$94,0))*고양시_Modal_split!H$6 * 0.01</f>
        <v>2.331536121094538E-3</v>
      </c>
      <c r="BI102" s="207">
        <f>INDEX($A$94:$H$106,MATCH($L102,$B$94:$B$106,0),MATCH($BC$93,$A$94:$H$94,0))*고양시_Modal_split!I$6 * 0.01</f>
        <v>1.5543574140630251E-3</v>
      </c>
      <c r="BJ102" s="207">
        <f>INDEX($A$94:$H$106,MATCH($L102,$B$94:$B$106,0),MATCH($BC$93,$A$94:$H$94,0))*고양시_Modal_split!J$6 * 0.01</f>
        <v>2.1690750354438825E-3</v>
      </c>
      <c r="BK102" s="207">
        <f>INDEX($A$94:$H$106,MATCH($L102,$B$94:$B$106,0),MATCH($BC$93,$A$94:$H$94,0))*고양시_Modal_split!K$6 * 0.01</f>
        <v>0</v>
      </c>
      <c r="BL102" s="207">
        <f>INDEX($A$94:$H$106,MATCH($L102,$B$94:$B$106,0),MATCH($BC$93,$A$94:$H$94,0))*고양시_Modal_split!L$6 * 0.01</f>
        <v>3.3370385160675113E-4</v>
      </c>
      <c r="BM102" s="207">
        <f>INDEX($A$94:$H$106,MATCH($L102,$B$94:$B$106,0),MATCH($BC$93,$A$94:$H$94,0))*고양시_Modal_split!M$6 * 0.01</f>
        <v>3.9956645389755736E-4</v>
      </c>
      <c r="BN102" s="207">
        <f>INDEX($A$94:$H$106,MATCH($L102,$B$94:$B$106,0),MATCH($BC$93,$A$94:$H$94,0))*고양시_Modal_split!N$6 * 0.01</f>
        <v>0</v>
      </c>
      <c r="BO102" s="207">
        <f>INDEX($A$94:$H$106,MATCH($L102,$B$94:$B$106,0),MATCH($BC$93,$A$94:$H$94,0))*고양시_Modal_split!O$6 * 0.01</f>
        <v>3.5126721221763283E-5</v>
      </c>
      <c r="BP102" s="214">
        <f>INDEX($A$94:$H$106,MATCH($L102,$B$94:$B$106,0),MATCH($BC$93,$A$94:$H$94,0))*고양시_Modal_split!P$6 * 0.01</f>
        <v>4.3908401527204093E-2</v>
      </c>
      <c r="BQ102" s="213">
        <f>INDEX($A$94:$H$106,MATCH($L102,$B$94:$B$106,0),MATCH($BQ$93,$A$94:$H$94,0))*고양시_Modal_split!C$7 * 0.01</f>
        <v>0</v>
      </c>
      <c r="BR102" s="213">
        <f>INDEX($A$94:$H$106,MATCH($L102,$B$94:$B$106,0),MATCH($BQ$93,$A$94:$H$94,0))*고양시_Modal_split!D$7 * 0.01</f>
        <v>0.10164892527773331</v>
      </c>
      <c r="BS102" s="213">
        <f>INDEX($A$94:$H$106,MATCH($L102,$B$94:$B$106,0),MATCH($BQ$93,$A$94:$H$94,0))*고양시_Modal_split!E$7 * 0.01</f>
        <v>4.9596978880617265E-3</v>
      </c>
      <c r="BT102" s="213">
        <f>INDEX($A$94:$H$106,MATCH($L102,$B$94:$B$106,0),MATCH($BQ$93,$A$94:$H$94,0))*고양시_Modal_split!F$7 * 0.01</f>
        <v>1.6587618354721493E-3</v>
      </c>
      <c r="BU102" s="213">
        <f>INDEX($A$94:$H$106,MATCH($L102,$B$94:$B$106,0),MATCH($BQ$93,$A$94:$H$94,0))*고양시_Modal_split!G$7 * 0.01</f>
        <v>6.9667997089830269E-4</v>
      </c>
      <c r="BV102" s="213">
        <f>INDEX($A$94:$H$106,MATCH($L102,$B$94:$B$106,0),MATCH($BQ$93,$A$94:$H$94,0))*고양시_Modal_split!H$7 * 0.01</f>
        <v>9.2724786602893135E-3</v>
      </c>
      <c r="BW102" s="213">
        <f>INDEX($A$94:$H$106,MATCH($L102,$B$94:$B$106,0),MATCH($BQ$93,$A$94:$H$94,0))*고양시_Modal_split!I$7 * 0.01</f>
        <v>3.0969083468265032E-2</v>
      </c>
      <c r="BX102" s="213">
        <f>INDEX($A$94:$H$106,MATCH($L102,$B$94:$B$106,0),MATCH($BQ$93,$A$94:$H$94,0))*고양시_Modal_split!J$7 * 0.01</f>
        <v>3.3175236709442988E-5</v>
      </c>
      <c r="BY102" s="213">
        <f>INDEX($A$94:$H$106,MATCH($L102,$B$94:$B$106,0),MATCH($BQ$93,$A$94:$H$94,0))*고양시_Modal_split!K$7 * 0.01</f>
        <v>1.2772466133135549E-2</v>
      </c>
      <c r="BZ102" s="213">
        <f>INDEX($A$94:$H$106,MATCH($L102,$B$94:$B$106,0),MATCH($BQ$93,$A$94:$H$94,0))*고양시_Modal_split!L$7 * 0.01</f>
        <v>1.1611332848305043E-4</v>
      </c>
      <c r="CA102" s="213">
        <f>INDEX($A$94:$H$106,MATCH($L102,$B$94:$B$106,0),MATCH($BQ$93,$A$94:$H$94,0))*고양시_Modal_split!M$7 * 0.01</f>
        <v>3.1018846323329192E-3</v>
      </c>
      <c r="CB102" s="213">
        <f>INDEX($A$94:$H$106,MATCH($L102,$B$94:$B$106,0),MATCH($BQ$93,$A$94:$H$94,0))*고양시_Modal_split!N$7 * 0.01</f>
        <v>6.4691711583413818E-4</v>
      </c>
      <c r="CC102" s="213">
        <f>INDEX($A$94:$H$106,MATCH($L102,$B$94:$B$106,0),MATCH($BQ$93,$A$94:$H$94,0))*고양시_Modal_split!O$7 * 0.01</f>
        <v>0</v>
      </c>
      <c r="CD102" s="213">
        <f>INDEX($A$94:$H$106,MATCH($L102,$B$94:$B$106,0),MATCH($BQ$93,$A$94:$H$94,0))*고양시_Modal_split!P$7 * 0.01</f>
        <v>0.16587618354721492</v>
      </c>
      <c r="CE102" s="218">
        <f t="shared" si="58"/>
        <v>148.46070350545011</v>
      </c>
      <c r="CF102" s="208">
        <f t="shared" si="39"/>
        <v>208.45676037338595</v>
      </c>
      <c r="CG102" s="208">
        <f t="shared" si="40"/>
        <v>44.429615719661463</v>
      </c>
      <c r="CH102" s="208">
        <f t="shared" si="41"/>
        <v>11.386968722439063</v>
      </c>
      <c r="CI102" s="208">
        <f t="shared" si="42"/>
        <v>57.834029618808259</v>
      </c>
      <c r="CJ102" s="208">
        <f t="shared" si="43"/>
        <v>3.7891974775720844E-2</v>
      </c>
      <c r="CK102" s="208">
        <f t="shared" si="44"/>
        <v>19.626379781147754</v>
      </c>
      <c r="CL102" s="208">
        <f t="shared" si="45"/>
        <v>45.178919909790082</v>
      </c>
      <c r="CM102" s="208">
        <f t="shared" si="46"/>
        <v>0.119305957145206</v>
      </c>
      <c r="CN102" s="208">
        <f t="shared" si="47"/>
        <v>25.24662590436218</v>
      </c>
      <c r="CO102" s="208">
        <f t="shared" si="48"/>
        <v>3.6086646695950866</v>
      </c>
      <c r="CP102" s="208">
        <f t="shared" si="49"/>
        <v>12.291486184739629</v>
      </c>
      <c r="CQ102" s="208">
        <f t="shared" si="50"/>
        <v>5.811502338586612</v>
      </c>
      <c r="CR102" s="219">
        <f t="shared" si="51"/>
        <v>582.48885465988724</v>
      </c>
      <c r="CS102" s="225">
        <f t="shared" si="59"/>
        <v>0</v>
      </c>
      <c r="CV102" s="265"/>
      <c r="CW102" s="271" t="s">
        <v>486</v>
      </c>
      <c r="CX102" s="267">
        <f>INDEX($M$93:$Z$106,MATCH($CW102,$L$93:$L$106,0),MATCH(CX$94,$M$94:$Z$94,0))/INDEX(고양시_재차인원!$D$4:$H$35,MATCH("고양시",고양시_재차인원!$B$4:$B$35,0),MATCH('A.일산테크노밸리(859991)_수정'!$CX$93,고양시_재차인원!$D$4:$H$4,0))</f>
        <v>28.258707575430282</v>
      </c>
      <c r="CY102" s="267">
        <f>INDEX($M$93:$Z$106,MATCH($CW102,$L$93:$L$106,0),MATCH(CY$94,$M$94:$Z$94,0))/INDEX(고양시_재차인원!$K$4:$O$20,MATCH("경기도",고양시_재차인원!$K$4:$K$20,0),MATCH('A.일산테크노밸리(859991)_수정'!CY$94,고양시_재차인원!$K$4:$O$4,0))</f>
        <v>2.3375110596513058E-4</v>
      </c>
      <c r="CZ102" s="267">
        <f>INDEX($M$93:$Z$106,MATCH($CW102,$L$93:$L$106,0),MATCH(CZ$94,$M$94:$Z$94,0))/INDEX(고양시_재차인원!$K$4:$O$20,MATCH("경기도",고양시_재차인원!$K$4:$K$20,0),MATCH('A.일산테크노밸리(859991)_수정'!CZ$94,고양시_재차인원!$K$4:$O$4,0))</f>
        <v>6.4982807458306285E-2</v>
      </c>
      <c r="DA102" s="267">
        <f>INDEX($M$93:$Z$106,MATCH($CW102,$L$93:$L$106,0),MATCH(DA$94,$M$94:$Z$94,0))/INDEX(고양시_재차인원!$K$4:$O$20,MATCH("경기도",고양시_재차인원!$K$4:$K$20,0),MATCH('A.일산테크노밸리(859991)_수정'!DA$94,고양시_재차인원!$K$4:$O$4,0))</f>
        <v>1.3549117939348696</v>
      </c>
      <c r="DB102" s="268">
        <f>INDEX($AA$93:$AN$106,MATCH($CW102,$L$93:$L$106,0),MATCH(DB$94,$AA$94:$AN$94,0))/INDEX(고양시_재차인원!$D$4:$H$35,MATCH("고양시",고양시_재차인원!$B$4:$B$35,0),MATCH('A.일산테크노밸리(859991)_수정'!$DB$93,고양시_재차인원!$D$4:$H$4,0))</f>
        <v>110.77609100351208</v>
      </c>
      <c r="DC102" s="267">
        <f>INDEX($AA$93:$AN$106,MATCH($CW102,$L$93:$L$106,0),MATCH(DC$94,$AA$94:$AN$94,0))/INDEX(고양시_재차인원!$K$4:$O$20,MATCH("경기도",고양시_재차인원!$K$4:$K$20,0),MATCH('A.일산테크노밸리(859991)_수정'!DC$94,고양시_재차인원!$K$4:$O$4,0))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2" s="267">
        <f>INDEX($AA$93:$AN$106,MATCH($CW102,$L$93:$L$106,0),MATCH(DD$94,$AA$94:$AN$94,0))/INDEX(고양시_재차인원!$K$4:$O$20,MATCH("경기도",고양시_재차인원!$K$4:$K$20,0),MATCH('A.일산테크노밸리(859991)_수정'!DD$94,고양시_재차인원!$K$4:$O$4,0))</f>
        <v>0.58871319212394235</v>
      </c>
      <c r="DE102" s="267">
        <f>INDEX($AA$93:$AN$106,MATCH($CW102,$L$93:$L$106,0),MATCH(DE$94,$AA$94:$AN$94,0))/INDEX(고양시_재차인원!$K$4:$O$20,MATCH("경기도",고양시_재차인원!$K$4:$K$20,0),MATCH('A.일산테크노밸리(859991)_수정'!DE$94,고양시_재차인원!$K$4:$O$4,0))</f>
        <v>15.000885812599073</v>
      </c>
      <c r="DF102" s="268">
        <f>INDEX($AO$93:$BB$106,MATCH($CW102,$L$93:$L$106,0),MATCH(DF$94,$AO$94:$BB$94,0))/INDEX(고양시_재차인원!$D$4:$H$35,MATCH("고양시",고양시_재차인원!$B$4:$B$35,0),MATCH('A.일산테크노밸리(859991)_수정'!$DF$93,고양시_재차인원!$D$4:$H$4,0))</f>
        <v>15.749777001053543</v>
      </c>
      <c r="DG102" s="267">
        <f>INDEX($AO$93:$BB$106,MATCH($CW102,$L$93:$L$106,0),MATCH(DG$94,$AO$94:$BB$94,0))/INDEX(고양시_재차인원!$K$4:$O$20,MATCH("경기도",고양시_재차인원!$K$4:$K$20,0),MATCH('A.일산테크노밸리(859991)_수정'!DG$94,고양시_재차인원!$K$4:$O$4,0))</f>
        <v>6.7934232905873142E-4</v>
      </c>
      <c r="DH102" s="267">
        <f>INDEX($AO$93:$BB$106,MATCH($CW102,$L$93:$L$106,0),MATCH(DH$94,$AO$94:$BB$94,0))/INDEX(고양시_재차인원!$K$4:$O$20,MATCH("경기도",고양시_재차인원!$K$4:$K$20,0),MATCH('A.일산테크노밸리(859991)_수정'!DH$94,고양시_재차인원!$K$4:$O$4,0))</f>
        <v>2.6882546449895513E-2</v>
      </c>
      <c r="DI102" s="267">
        <f>INDEX($AO$93:$BB$106,MATCH($CW102,$L$93:$L$106,0),MATCH(DI$94,$AO$94:$BB$94,0))/INDEX(고양시_재차인원!$K$4:$O$20,MATCH("경기도",고양시_재차인원!$K$4:$K$20,0),MATCH('A.일산테크노밸리(859991)_수정'!DI$94,고양시_재차인원!$K$4:$O$4,0))</f>
        <v>0.47498645158744984</v>
      </c>
      <c r="DJ102" s="268">
        <f>INDEX($BC$93:$BP$106,MATCH($CW102,$L$93:$L$106,0),MATCH(DJ$94,$BC$94:$BP$94,0))/INDEX(고양시_재차인원!$D$4:$H$35,MATCH("고양시",고양시_재차인원!$B$4:$B$35,0),MATCH('A.일산테크노밸리(859991)_수정'!$DJ$93,고양시_재차인원!$D$4:$H$4,0))</f>
        <v>2.6735696547557135E-2</v>
      </c>
      <c r="DK102" s="267">
        <f>INDEX($BC$93:$BP$106,MATCH($CW102,$L$93:$L$106,0),MATCH(DK$94,$BC$94:$BP$94,0))/INDEX(고양시_재차인원!$K$4:$O$20,MATCH("경기도",고양시_재차인원!$K$4:$K$20,0),MATCH('A.일산테크노밸리(859991)_수정'!DK$94,고양시_재차인원!$K$4:$O$4,0))</f>
        <v>8.0984234841769291E-5</v>
      </c>
      <c r="DL102" s="267">
        <f>INDEX($BC$93:$BP$106,MATCH($CW102,$L$93:$L$106,0),MATCH(DL$94,$BC$94:$BP$94,0))/INDEX(고양시_재차인원!$K$4:$O$20,MATCH("경기도",고양시_재차인원!$K$4:$K$20,0),MATCH('A.일산테크노밸리(859991)_수정'!DL$94,고양시_재차인원!$K$4:$O$4,0))</f>
        <v>5.3989489894512856E-5</v>
      </c>
      <c r="DM102" s="267">
        <f>INDEX($BC$93:$BP$106,MATCH($CW102,$L$93:$L$106,0),MATCH(DM$94,$BC$94:$BP$94,0))/INDEX(고양시_재차인원!$K$4:$O$20,MATCH("경기도",고양시_재차인원!$K$4:$K$20,0),MATCH('A.일산테크노밸리(859991)_수정'!DM$94,고양시_재차인원!$K$4:$O$4,0))</f>
        <v>2.2246923440450076E-4</v>
      </c>
      <c r="DN102" s="268">
        <f>INDEX($BQ$93:$CD$106,MATCH($CW102,$L$93:$L$106,0),MATCH(DN$94,$BQ$94:$CD$94,0))/INDEX(고양시_재차인원!$D$4:$H$35,MATCH("고양시",고양시_재차인원!$B$4:$B$35,0),MATCH('A.일산테크노밸리(859991)_수정'!$DN$93,고양시_재차인원!$D$4:$H$4,0))</f>
        <v>8.0673750220423265E-2</v>
      </c>
      <c r="DO102" s="267">
        <f>INDEX($BQ$93:$CD$106,MATCH($CW102,$L$93:$L$106,0),MATCH(DO$94,$BQ$94:$CD$94,0))/INDEX(고양시_재차인원!$K$4:$O$20,MATCH("경기도",고양시_재차인원!$K$4:$K$20,0),MATCH('A.일산테크노밸리(859991)_수정'!DO$94,고양시_재차인원!$K$4:$O$4,0))</f>
        <v>3.2207289545985808E-4</v>
      </c>
      <c r="DP102" s="267">
        <f>INDEX($BQ$93:$CD$106,MATCH($CW102,$L$93:$L$106,0),MATCH(DP$94,$BQ$94:$CD$94,0))/INDEX(고양시_재차인원!$K$4:$O$20,MATCH("경기도",고양시_재차인원!$K$4:$K$20,0),MATCH('A.일산테크노밸리(859991)_수정'!DP$94,고양시_재차인원!$K$4:$O$4,0))</f>
        <v>1.0756889012943742E-3</v>
      </c>
      <c r="DQ102" s="267">
        <f>INDEX($BQ$93:$CD$106,MATCH($CW102,$L$93:$L$106,0),MATCH(DQ$94,$BQ$94:$CD$94,0))/INDEX(고양시_재차인원!$K$4:$O$20,MATCH("경기도",고양시_재차인원!$K$4:$K$20,0),MATCH('A.일산테크노밸리(859991)_수정'!DQ$94,고양시_재차인원!$K$4:$O$4,0))</f>
        <v>7.7408885655366958E-5</v>
      </c>
      <c r="DR102" s="269">
        <f t="shared" si="60"/>
        <v>154.89198502676388</v>
      </c>
      <c r="DS102" s="270">
        <f t="shared" si="52"/>
        <v>1.3161505653254894E-3</v>
      </c>
      <c r="DT102" s="270">
        <f t="shared" si="53"/>
        <v>0.68170822442333312</v>
      </c>
      <c r="DU102" s="270">
        <f t="shared" si="54"/>
        <v>16.831083936241455</v>
      </c>
      <c r="DW102" s="278"/>
      <c r="DX102" s="278" t="s">
        <v>595</v>
      </c>
      <c r="DY102" s="281">
        <f>DR104+DU104</f>
        <v>306.12723568405033</v>
      </c>
      <c r="DZ102" s="281">
        <f>DS104+DT104</f>
        <v>1.2176137142363177</v>
      </c>
      <c r="EC102" s="412" t="s">
        <v>15</v>
      </c>
      <c r="ED102" s="412" t="s">
        <v>573</v>
      </c>
      <c r="EE102" s="412">
        <v>21685.084499999997</v>
      </c>
      <c r="EF102" s="412">
        <v>0.10071399380839066</v>
      </c>
      <c r="EG102" s="413">
        <v>859009</v>
      </c>
      <c r="EH102" s="414">
        <f t="shared" si="55"/>
        <v>796.36590349902929</v>
      </c>
      <c r="EI102" s="415">
        <f t="shared" si="56"/>
        <v>3.167526219886533</v>
      </c>
      <c r="EJ102" s="402">
        <v>0</v>
      </c>
      <c r="EM102" s="278" t="s">
        <v>15</v>
      </c>
      <c r="EN102" s="278" t="s">
        <v>573</v>
      </c>
      <c r="EO102" s="278">
        <v>21685.084499999997</v>
      </c>
      <c r="EP102" s="278">
        <v>0.10071399380839066</v>
      </c>
      <c r="EQ102" s="289">
        <v>859009</v>
      </c>
      <c r="ER102" s="290">
        <f t="shared" si="37"/>
        <v>796.36590349902929</v>
      </c>
      <c r="ES102" s="291">
        <f t="shared" si="38"/>
        <v>3.167526219886533</v>
      </c>
      <c r="ET102" s="402">
        <v>0</v>
      </c>
      <c r="EV102" s="34"/>
      <c r="EW102" s="34"/>
      <c r="EX102" s="34"/>
      <c r="EY102" s="34"/>
      <c r="EZ102" s="378"/>
      <c r="FA102" s="401"/>
      <c r="FB102" s="402"/>
      <c r="FC102" s="402"/>
    </row>
    <row r="103" spans="1:159">
      <c r="A103" s="205" t="s">
        <v>491</v>
      </c>
      <c r="B103" s="203" t="s">
        <v>23</v>
      </c>
      <c r="C103" s="400">
        <f>'A.일산테크노밸리(859991)_수정'!$P36*KTDB_TripDistribution_2040!T$12 * (1+KTDB_발생량도착량_증가율!$D$8 *5) * (1+KTDB_발생량도착량_증가율!$E$8 *5) * (1+KTDB_발생량도착량_증가율!$F$8 *5)</f>
        <v>224.10322003954553</v>
      </c>
      <c r="D103" s="400">
        <f>'A.일산테크노밸리(859991)_수정'!$P36*KTDB_TripDistribution_2040!U$12 * (1+KTDB_발생량도착량_증가율!$D$8 *5) * (1+KTDB_발생량도착량_증가율!$E$8 *5) * (1+KTDB_발생량도착량_증가율!$F$8 *5)</f>
        <v>1621.880850844416</v>
      </c>
      <c r="E103" s="400">
        <f>'A.일산테크노밸리(859991)_수정'!$P36*KTDB_TripDistribution_2040!V$12 * (1+KTDB_발생량도착량_증가율!$D$8 *5) * (1+KTDB_발생량도착량_증가율!$E$8 *5) * (1+KTDB_발생량도착량_증가율!$F$8 *5)</f>
        <v>93.043289920725002</v>
      </c>
      <c r="F103" s="400">
        <f>'A.일산테크노밸리(859991)_수정'!$P36*KTDB_TripDistribution_2040!W$12 * (1+KTDB_발생량도착량_증가율!$D$8 *5) * (1+KTDB_발생량도착량_증가율!$E$8 *5) * (1+KTDB_발생량도착량_증가율!$F$8 *5)</f>
        <v>0.14621784691575482</v>
      </c>
      <c r="G103" s="400">
        <f>'A.일산테크노밸리(859991)_수정'!$P36*KTDB_TripDistribution_2040!X$12 * (1+KTDB_발생량도착량_증가율!$D$8 *5) * (1+KTDB_발생량도착량_증가율!$E$8 *5) * (1+KTDB_발생량도착량_증가율!$F$8 *5)</f>
        <v>0.55237853279284965</v>
      </c>
      <c r="H103" s="400">
        <f>'A.일산테크노밸리(859991)_수정'!$P36*KTDB_TripDistribution_2040!Y$12 * (1+KTDB_발생량도착량_증가율!$D$8 *5) * (1+KTDB_발생량도착량_증가율!$E$8 *5) * (1+KTDB_발생량도착량_증가율!$F$8 *5)</f>
        <v>1939.7259571843956</v>
      </c>
      <c r="J103" s="230">
        <f t="shared" si="57"/>
        <v>1939.7259571843954</v>
      </c>
      <c r="K103" s="206"/>
      <c r="L103" s="210" t="s">
        <v>23</v>
      </c>
      <c r="M103" s="213">
        <f>INDEX($A$94:$H$106,MATCH($L103,$B$94:$B$106,0),MATCH($M$93,$A$94:$H$94,0))*고양시_Modal_split!C$3 * 0.01</f>
        <v>0.62748901611072749</v>
      </c>
      <c r="N103" s="213">
        <f>INDEX($A$94:$H$106,MATCH($L103,$B$94:$B$106,0),MATCH($M$93,$A$94:$H$94,0))*고양시_Modal_split!D$3 * 0.01</f>
        <v>105.39574438459827</v>
      </c>
      <c r="O103" s="213">
        <f>INDEX($A$94:$H$106,MATCH($L103,$B$94:$B$106,0),MATCH($M$93,$A$94:$H$94,0))*고양시_Modal_split!E$3 * 0.01</f>
        <v>12.751473220250139</v>
      </c>
      <c r="P103" s="213">
        <f>INDEX($A$94:$H$106,MATCH($L103,$B$94:$B$106,0),MATCH($M$93,$A$94:$H$94,0))*고양시_Modal_split!F$3 * 0.01</f>
        <v>20.550265277626327</v>
      </c>
      <c r="Q103" s="213">
        <f>INDEX($A$94:$H$106,MATCH($L103,$B$94:$B$106,0),MATCH($M$93,$A$94:$H$94,0))*고양시_Modal_split!G$3 * 0.01</f>
        <v>2.0617496243638187</v>
      </c>
      <c r="R103" s="213">
        <f>INDEX($A$94:$H$106,MATCH($L103,$B$94:$B$106,0),MATCH($M$93,$A$94:$H$94,0))*고양시_Modal_split!H$3 * 0.01</f>
        <v>2.2410322003954555E-2</v>
      </c>
      <c r="S103" s="213">
        <f>INDEX($A$94:$H$106,MATCH($L103,$B$94:$B$106,0),MATCH($M$93,$A$94:$H$94,0))*고양시_Modal_split!I$3 * 0.01</f>
        <v>6.2300695170993654</v>
      </c>
      <c r="T103" s="213">
        <f>INDEX($A$94:$H$106,MATCH($L103,$B$94:$B$106,0),MATCH($M$93,$A$94:$H$94,0))*고양시_Modal_split!J$3 * 0.01</f>
        <v>68.217020180037665</v>
      </c>
      <c r="U103" s="213">
        <f>INDEX($A$94:$H$106,MATCH($L103,$B$94:$B$106,0),MATCH($M$93,$A$94:$H$94,0))*고양시_Modal_split!K$3 * 0.01</f>
        <v>0.33615483005931829</v>
      </c>
      <c r="V103" s="213">
        <f>INDEX($A$94:$H$106,MATCH($L103,$B$94:$B$106,0),MATCH($M$93,$A$94:$H$94,0))*고양시_Modal_split!L$3 * 0.01</f>
        <v>6.7679172451942753</v>
      </c>
      <c r="W103" s="213">
        <f>INDEX($A$94:$H$106,MATCH($L103,$B$94:$B$106,0),MATCH($M$93,$A$94:$H$94,0))*고양시_Modal_split!M$3 * 0.01</f>
        <v>0.51543740609095468</v>
      </c>
      <c r="X103" s="213">
        <f>INDEX($A$94:$H$106,MATCH($L103,$B$94:$B$106,0),MATCH($M$93,$A$94:$H$94,0))*고양시_Modal_split!N$3 * 0.01</f>
        <v>0.22410322003954555</v>
      </c>
      <c r="Y103" s="213">
        <f>INDEX($A$94:$H$106,MATCH($L103,$B$94:$B$106,0),MATCH($M$93,$A$94:$H$94,0))*고양시_Modal_split!O$3 * 0.01</f>
        <v>0.40338579607118191</v>
      </c>
      <c r="Z103" s="213">
        <f>INDEX($A$94:$H$106,MATCH($L103,$B$94:$B$106,0),MATCH($M$93,$A$94:$H$94,0))*고양시_Modal_split!P$3 * 0.01</f>
        <v>224.10322003954553</v>
      </c>
      <c r="AA103" s="213">
        <f>INDEX($A$94:$H$106,MATCH($L103,$B$94:$B$106,0),MATCH($AA$93,$A$94:$H$94,0))*고양시_Modal_split!C$4 * 0.01</f>
        <v>493.70053099704029</v>
      </c>
      <c r="AB103" s="213">
        <f>INDEX($A$94:$H$106,MATCH($L103,$B$94:$B$106,0),MATCH($AA$93,$A$94:$H$94,0))*고양시_Modal_split!D$4 * 0.01</f>
        <v>520.13718886580421</v>
      </c>
      <c r="AC103" s="213">
        <f>INDEX($A$94:$H$106,MATCH($L103,$B$94:$B$106,0),MATCH($AA$93,$A$94:$H$94,0))*고양시_Modal_split!E$4 * 0.01</f>
        <v>126.02014211061115</v>
      </c>
      <c r="AD103" s="213">
        <f>INDEX($A$94:$H$106,MATCH($L103,$B$94:$B$106,0),MATCH($AA$93,$A$94:$H$94,0))*고양시_Modal_split!F$4 * 0.01</f>
        <v>15.407868083021953</v>
      </c>
      <c r="AE103" s="213">
        <f>INDEX($A$94:$H$106,MATCH($L103,$B$94:$B$106,0),MATCH($AA$93,$A$94:$H$94,0))*고양시_Modal_split!G$4 * 0.01</f>
        <v>189.92224763388108</v>
      </c>
      <c r="AF103" s="213">
        <f>INDEX($A$94:$H$106,MATCH($L103,$B$94:$B$106,0),MATCH($AA$93,$A$94:$H$94,0))*고양시_Modal_split!H$4 * 0.01</f>
        <v>0</v>
      </c>
      <c r="AG103" s="213">
        <f>INDEX($A$94:$H$106,MATCH($L103,$B$94:$B$106,0),MATCH($AA$93,$A$94:$H$94,0))*고양시_Modal_split!I$4 * 0.01</f>
        <v>56.441453609385675</v>
      </c>
      <c r="AH103" s="213">
        <f>INDEX($A$94:$H$106,MATCH($L103,$B$94:$B$106,0),MATCH($AA$93,$A$94:$H$94,0))*고양시_Modal_split!J$4 * 0.01</f>
        <v>76.390588074771998</v>
      </c>
      <c r="AI103" s="213">
        <f>INDEX($A$94:$H$106,MATCH($L103,$B$94:$B$106,0),MATCH($AA$93,$A$94:$H$94,0))*고양시_Modal_split!K$4 * 0.01</f>
        <v>0</v>
      </c>
      <c r="AJ103" s="213">
        <f>INDEX($A$94:$H$106,MATCH($L103,$B$94:$B$106,0),MATCH($AA$93,$A$94:$H$94,0))*고양시_Modal_split!L$4 * 0.01</f>
        <v>74.93089530901203</v>
      </c>
      <c r="AK103" s="213">
        <f>INDEX($A$94:$H$106,MATCH($L103,$B$94:$B$106,0),MATCH($AA$93,$A$94:$H$94,0))*고양시_Modal_split!M$4 * 0.01</f>
        <v>10.866601700657588</v>
      </c>
      <c r="AL103" s="213">
        <f>INDEX($A$94:$H$106,MATCH($L103,$B$94:$B$106,0),MATCH($AA$93,$A$94:$H$94,0))*고양시_Modal_split!N$4 * 0.01</f>
        <v>40.547021271110403</v>
      </c>
      <c r="AM103" s="213">
        <f>INDEX($A$94:$H$106,MATCH($L103,$B$94:$B$106,0),MATCH($AA$93,$A$94:$H$94,0))*고양시_Modal_split!O$4 * 0.01</f>
        <v>17.516313189119696</v>
      </c>
      <c r="AN103" s="213">
        <f>INDEX($A$94:$H$106,MATCH($L103,$B$94:$B$106,0),MATCH($AA$93,$A$94:$H$94,0))*고양시_Modal_split!P$4 * 0.01</f>
        <v>1621.8808508444163</v>
      </c>
      <c r="AO103" s="213">
        <f>INDEX($A$94:$H$106,MATCH($L103,$B$94:$B$106,0),MATCH($AO$93,$A$94:$H$94,0))*고양시_Modal_split!C$5 * 0.01</f>
        <v>5.5825973952435E-2</v>
      </c>
      <c r="AP103" s="213">
        <f>INDEX($A$94:$H$106,MATCH($L103,$B$94:$B$106,0),MATCH($AO$93,$A$94:$H$94,0))*고양시_Modal_split!D$5 * 0.01</f>
        <v>68.182122853907288</v>
      </c>
      <c r="AQ103" s="213">
        <f>INDEX($A$94:$H$106,MATCH($L103,$B$94:$B$106,0),MATCH($AO$93,$A$94:$H$94,0))*고양시_Modal_split!E$5 * 0.01</f>
        <v>9.1647640571914124</v>
      </c>
      <c r="AR103" s="213">
        <f>INDEX($A$94:$H$106,MATCH($L103,$B$94:$B$106,0),MATCH($AO$93,$A$94:$H$94,0))*고양시_Modal_split!F$5 * 0.01</f>
        <v>1.953909088335225</v>
      </c>
      <c r="AS103" s="213">
        <f>INDEX($A$94:$H$106,MATCH($L103,$B$94:$B$106,0),MATCH($AO$93,$A$94:$H$94,0))*고양시_Modal_split!G$5 * 0.01</f>
        <v>0.60478138448471253</v>
      </c>
      <c r="AT103" s="213">
        <f>INDEX($A$94:$H$106,MATCH($L103,$B$94:$B$106,0),MATCH($AO$93,$A$94:$H$94,0))*고양시_Modal_split!H$5 * 0.01</f>
        <v>6.5130302944507501E-2</v>
      </c>
      <c r="AU103" s="213">
        <f>INDEX($A$94:$H$106,MATCH($L103,$B$94:$B$106,0),MATCH($AO$93,$A$94:$H$94,0))*고양시_Modal_split!I$5 * 0.01</f>
        <v>2.5772991308040827</v>
      </c>
      <c r="AV103" s="213">
        <f>INDEX($A$94:$H$106,MATCH($L103,$B$94:$B$106,0),MATCH($AO$93,$A$94:$H$94,0))*고양시_Modal_split!J$5 * 0.01</f>
        <v>5.8338142780294584</v>
      </c>
      <c r="AW103" s="213">
        <f>INDEX($A$94:$H$106,MATCH($L103,$B$94:$B$106,0),MATCH($AO$93,$A$94:$H$94,0))*고양시_Modal_split!K$5 * 0.01</f>
        <v>1.8608657984145002E-2</v>
      </c>
      <c r="AX103" s="213">
        <f>INDEX($A$94:$H$106,MATCH($L103,$B$94:$B$106,0),MATCH($AO$93,$A$94:$H$94,0))*고양시_Modal_split!L$5 * 0.01</f>
        <v>2.3726038929784874</v>
      </c>
      <c r="AY103" s="213">
        <f>INDEX($A$94:$H$106,MATCH($L103,$B$94:$B$106,0),MATCH($AO$93,$A$94:$H$94,0))*고양시_Modal_split!M$5 * 0.01</f>
        <v>0.62339004246885754</v>
      </c>
      <c r="AZ103" s="213">
        <f>INDEX($A$94:$H$106,MATCH($L103,$B$94:$B$106,0),MATCH($AO$93,$A$94:$H$94,0))*고양시_Modal_split!N$5 * 0.01</f>
        <v>0.1581735928652325</v>
      </c>
      <c r="BA103" s="213">
        <f>INDEX($A$94:$H$106,MATCH($L103,$B$94:$B$106,0),MATCH($AO$93,$A$94:$H$94,0))*고양시_Modal_split!O$5 * 0.01</f>
        <v>1.432866664779165</v>
      </c>
      <c r="BB103" s="213">
        <f>INDEX($A$94:$H$106,MATCH($L103,$B$94:$B$106,0),MATCH($AO$93,$A$94:$H$94,0))*고양시_Modal_split!P$5 * 0.01</f>
        <v>93.043289920724987</v>
      </c>
      <c r="BC103" s="213">
        <f>INDEX($A$94:$H$106,MATCH($L103,$B$94:$B$106,0),MATCH($BC$93,$A$94:$H$94,0))*고양시_Modal_split!C$6 * 0.01</f>
        <v>0</v>
      </c>
      <c r="BD103" s="207">
        <f>INDEX($A$94:$H$106,MATCH($L103,$B$94:$B$106,0),MATCH($BC$93,$A$94:$H$94,0))*고양시_Modal_split!D$6 * 0.01</f>
        <v>0.12108299903093656</v>
      </c>
      <c r="BE103" s="207">
        <f>INDEX($A$94:$H$106,MATCH($L103,$B$94:$B$106,0),MATCH($BC$93,$A$94:$H$94,0))*고양시_Modal_split!E$6 * 0.01</f>
        <v>6.2873674173774573E-4</v>
      </c>
      <c r="BF103" s="207">
        <f>INDEX($A$94:$H$106,MATCH($L103,$B$94:$B$106,0),MATCH($BC$93,$A$94:$H$94,0))*고양시_Modal_split!F$6 * 0.01</f>
        <v>1.7838577323722089E-3</v>
      </c>
      <c r="BG103" s="207">
        <f>INDEX($A$94:$H$106,MATCH($L103,$B$94:$B$106,0),MATCH($BC$93,$A$94:$H$94,0))*고양시_Modal_split!G$6 * 0.01</f>
        <v>0</v>
      </c>
      <c r="BH103" s="207">
        <f>INDEX($A$94:$H$106,MATCH($L103,$B$94:$B$106,0),MATCH($BC$93,$A$94:$H$94,0))*고양시_Modal_split!H$6 * 0.01</f>
        <v>7.7641676712265819E-3</v>
      </c>
      <c r="BI103" s="207">
        <f>INDEX($A$94:$H$106,MATCH($L103,$B$94:$B$106,0),MATCH($BC$93,$A$94:$H$94,0))*고양시_Modal_split!I$6 * 0.01</f>
        <v>5.1761117808177201E-3</v>
      </c>
      <c r="BJ103" s="207">
        <f>INDEX($A$94:$H$106,MATCH($L103,$B$94:$B$106,0),MATCH($BC$93,$A$94:$H$94,0))*고양시_Modal_split!J$6 * 0.01</f>
        <v>7.2231616376382873E-3</v>
      </c>
      <c r="BK103" s="207">
        <f>INDEX($A$94:$H$106,MATCH($L103,$B$94:$B$106,0),MATCH($BC$93,$A$94:$H$94,0))*고양시_Modal_split!K$6 * 0.01</f>
        <v>0</v>
      </c>
      <c r="BL103" s="207">
        <f>INDEX($A$94:$H$106,MATCH($L103,$B$94:$B$106,0),MATCH($BC$93,$A$94:$H$94,0))*고양시_Modal_split!L$6 * 0.01</f>
        <v>1.1112556365597366E-3</v>
      </c>
      <c r="BM103" s="207">
        <f>INDEX($A$94:$H$106,MATCH($L103,$B$94:$B$106,0),MATCH($BC$93,$A$94:$H$94,0))*고양시_Modal_split!M$6 * 0.01</f>
        <v>1.3305824069333688E-3</v>
      </c>
      <c r="BN103" s="207">
        <f>INDEX($A$94:$H$106,MATCH($L103,$B$94:$B$106,0),MATCH($BC$93,$A$94:$H$94,0))*고양시_Modal_split!N$6 * 0.01</f>
        <v>0</v>
      </c>
      <c r="BO103" s="207">
        <f>INDEX($A$94:$H$106,MATCH($L103,$B$94:$B$106,0),MATCH($BC$93,$A$94:$H$94,0))*고양시_Modal_split!O$6 * 0.01</f>
        <v>1.1697427753260387E-4</v>
      </c>
      <c r="BP103" s="214">
        <f>INDEX($A$94:$H$106,MATCH($L103,$B$94:$B$106,0),MATCH($BC$93,$A$94:$H$94,0))*고양시_Modal_split!P$6 * 0.01</f>
        <v>0.14621784691575482</v>
      </c>
      <c r="BQ103" s="213">
        <f>INDEX($A$94:$H$106,MATCH($L103,$B$94:$B$106,0),MATCH($BQ$93,$A$94:$H$94,0))*고양시_Modal_split!C$7 * 0.01</f>
        <v>0</v>
      </c>
      <c r="BR103" s="213">
        <f>INDEX($A$94:$H$106,MATCH($L103,$B$94:$B$106,0),MATCH($BQ$93,$A$94:$H$94,0))*고양시_Modal_split!D$7 * 0.01</f>
        <v>0.33849756489545824</v>
      </c>
      <c r="BS103" s="213">
        <f>INDEX($A$94:$H$106,MATCH($L103,$B$94:$B$106,0),MATCH($BQ$93,$A$94:$H$94,0))*고양시_Modal_split!E$7 * 0.01</f>
        <v>1.6516118130506203E-2</v>
      </c>
      <c r="BT103" s="213">
        <f>INDEX($A$94:$H$106,MATCH($L103,$B$94:$B$106,0),MATCH($BQ$93,$A$94:$H$94,0))*고양시_Modal_split!F$7 * 0.01</f>
        <v>5.5237853279284967E-3</v>
      </c>
      <c r="BU103" s="213">
        <f>INDEX($A$94:$H$106,MATCH($L103,$B$94:$B$106,0),MATCH($BQ$93,$A$94:$H$94,0))*고양시_Modal_split!G$7 * 0.01</f>
        <v>2.3199898377299685E-3</v>
      </c>
      <c r="BV103" s="213">
        <f>INDEX($A$94:$H$106,MATCH($L103,$B$94:$B$106,0),MATCH($BQ$93,$A$94:$H$94,0))*고양시_Modal_split!H$7 * 0.01</f>
        <v>3.0877959983120293E-2</v>
      </c>
      <c r="BW103" s="213">
        <f>INDEX($A$94:$H$106,MATCH($L103,$B$94:$B$106,0),MATCH($BQ$93,$A$94:$H$94,0))*고양시_Modal_split!I$7 * 0.01</f>
        <v>0.10312907207242504</v>
      </c>
      <c r="BX103" s="213">
        <f>INDEX($A$94:$H$106,MATCH($L103,$B$94:$B$106,0),MATCH($BQ$93,$A$94:$H$94,0))*고양시_Modal_split!J$7 * 0.01</f>
        <v>1.1047570655856994E-4</v>
      </c>
      <c r="BY103" s="213">
        <f>INDEX($A$94:$H$106,MATCH($L103,$B$94:$B$106,0),MATCH($BQ$93,$A$94:$H$94,0))*고양시_Modal_split!K$7 * 0.01</f>
        <v>4.2533147025049428E-2</v>
      </c>
      <c r="BZ103" s="213">
        <f>INDEX($A$94:$H$106,MATCH($L103,$B$94:$B$106,0),MATCH($BQ$93,$A$94:$H$94,0))*고양시_Modal_split!L$7 * 0.01</f>
        <v>3.8666497295499473E-4</v>
      </c>
      <c r="CA103" s="213">
        <f>INDEX($A$94:$H$106,MATCH($L103,$B$94:$B$106,0),MATCH($BQ$93,$A$94:$H$94,0))*고양시_Modal_split!M$7 * 0.01</f>
        <v>1.0329478563226288E-2</v>
      </c>
      <c r="CB103" s="213">
        <f>INDEX($A$94:$H$106,MATCH($L103,$B$94:$B$106,0),MATCH($BQ$93,$A$94:$H$94,0))*고양시_Modal_split!N$7 * 0.01</f>
        <v>2.1542762778921135E-3</v>
      </c>
      <c r="CC103" s="213">
        <f>INDEX($A$94:$H$106,MATCH($L103,$B$94:$B$106,0),MATCH($BQ$93,$A$94:$H$94,0))*고양시_Modal_split!O$7 * 0.01</f>
        <v>0</v>
      </c>
      <c r="CD103" s="213">
        <f>INDEX($A$94:$H$106,MATCH($L103,$B$94:$B$106,0),MATCH($BQ$93,$A$94:$H$94,0))*고양시_Modal_split!P$7 * 0.01</f>
        <v>0.55237853279284965</v>
      </c>
      <c r="CE103" s="218">
        <f t="shared" si="58"/>
        <v>494.38384598710343</v>
      </c>
      <c r="CF103" s="208">
        <f t="shared" si="39"/>
        <v>694.17463666823608</v>
      </c>
      <c r="CG103" s="208">
        <f t="shared" si="40"/>
        <v>147.95352424292494</v>
      </c>
      <c r="CH103" s="208">
        <f t="shared" si="41"/>
        <v>37.9193500920438</v>
      </c>
      <c r="CI103" s="208">
        <f t="shared" si="42"/>
        <v>192.59109863256734</v>
      </c>
      <c r="CJ103" s="208">
        <f t="shared" si="43"/>
        <v>0.12618275260280892</v>
      </c>
      <c r="CK103" s="208">
        <f t="shared" si="44"/>
        <v>65.357127441142353</v>
      </c>
      <c r="CL103" s="208">
        <f t="shared" si="45"/>
        <v>150.44875617018329</v>
      </c>
      <c r="CM103" s="208">
        <f t="shared" si="46"/>
        <v>0.39729663506851276</v>
      </c>
      <c r="CN103" s="208">
        <f t="shared" si="47"/>
        <v>84.072914367794297</v>
      </c>
      <c r="CO103" s="208">
        <f t="shared" si="48"/>
        <v>12.01708921018756</v>
      </c>
      <c r="CP103" s="208">
        <f t="shared" si="49"/>
        <v>40.931452360293072</v>
      </c>
      <c r="CQ103" s="208">
        <f t="shared" si="50"/>
        <v>19.352682624247574</v>
      </c>
      <c r="CR103" s="219">
        <f t="shared" si="51"/>
        <v>1939.7259571843954</v>
      </c>
      <c r="CS103" s="225">
        <f t="shared" si="59"/>
        <v>0</v>
      </c>
      <c r="CV103" s="265"/>
      <c r="CW103" s="271" t="s">
        <v>23</v>
      </c>
      <c r="CX103" s="267">
        <f>INDEX($M$93:$Z$106,MATCH($CW103,$L$93:$L$106,0),MATCH(CX$94,$M$94:$Z$94,0))/INDEX(고양시_재차인원!$D$4:$H$35,MATCH("고양시",고양시_재차인원!$B$4:$B$35,0),MATCH('A.일산테크노밸리(859991)_수정'!$CX$93,고양시_재차인원!$D$4:$H$4,0))</f>
        <v>94.103343200534169</v>
      </c>
      <c r="CY103" s="267">
        <f>INDEX($M$93:$Z$106,MATCH($CW103,$L$93:$L$106,0),MATCH(CY$94,$M$94:$Z$94,0))/INDEX(고양시_재차인원!$K$4:$O$20,MATCH("경기도",고양시_재차인원!$K$4:$K$20,0),MATCH('A.일산테크노밸리(859991)_수정'!CY$94,고양시_재차인원!$K$4:$O$4,0))</f>
        <v>7.7840646071394772E-4</v>
      </c>
      <c r="CZ103" s="267">
        <f>INDEX($M$93:$Z$106,MATCH($CW103,$L$93:$L$106,0),MATCH(CZ$94,$M$94:$Z$94,0))/INDEX(고양시_재차인원!$K$4:$O$20,MATCH("경기도",고양시_재차인원!$K$4:$K$20,0),MATCH('A.일산테크노밸리(859991)_수정'!CZ$94,고양시_재차인원!$K$4:$O$4,0))</f>
        <v>0.21639699607847745</v>
      </c>
      <c r="DA103" s="267">
        <f>INDEX($M$93:$Z$106,MATCH($CW103,$L$93:$L$106,0),MATCH(DA$94,$M$94:$Z$94,0))/INDEX(고양시_재차인원!$K$4:$O$20,MATCH("경기도",고양시_재차인원!$K$4:$K$20,0),MATCH('A.일산테크노밸리(859991)_수정'!DA$94,고양시_재차인원!$K$4:$O$4,0))</f>
        <v>4.5119448301295169</v>
      </c>
      <c r="DB103" s="268">
        <f>INDEX($AA$93:$AN$106,MATCH($CW103,$L$93:$L$106,0),MATCH(DB$94,$AA$94:$AN$94,0))/INDEX(고양시_재차인원!$D$4:$H$35,MATCH("고양시",고양시_재차인원!$B$4:$B$35,0),MATCH('A.일산테크노밸리(859991)_수정'!$DB$93,고양시_재차인원!$D$4:$H$4,0))</f>
        <v>368.89162330908101</v>
      </c>
      <c r="DC103" s="267">
        <f>INDEX($AA$93:$AN$106,MATCH($CW103,$L$93:$L$106,0),MATCH(DC$94,$AA$94:$AN$94,0))/INDEX(고양시_재차인원!$K$4:$O$20,MATCH("경기도",고양시_재차인원!$K$4:$K$20,0),MATCH('A.일산테크노밸리(859991)_수정'!DC$94,고양시_재차인원!$K$4:$O$4,0))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3" s="267">
        <f>INDEX($AA$93:$AN$106,MATCH($CW103,$L$93:$L$106,0),MATCH(DD$94,$AA$94:$AN$94,0))/INDEX(고양시_재차인원!$K$4:$O$20,MATCH("경기도",고양시_재차인원!$K$4:$K$20,0),MATCH('A.일산테크노밸리(859991)_수정'!DD$94,고양시_재차인원!$K$4:$O$4,0))</f>
        <v>1.9604534077591413</v>
      </c>
      <c r="DE103" s="267">
        <f>INDEX($AA$93:$AN$106,MATCH($CW103,$L$93:$L$106,0),MATCH(DE$94,$AA$94:$AN$94,0))/INDEX(고양시_재차인원!$K$4:$O$20,MATCH("경기도",고양시_재차인원!$K$4:$K$20,0),MATCH('A.일산테크노밸리(859991)_수정'!DE$94,고양시_재차인원!$K$4:$O$4,0))</f>
        <v>49.953930206008017</v>
      </c>
      <c r="DF103" s="268">
        <f>INDEX($AO$93:$BB$106,MATCH($CW103,$L$93:$L$106,0),MATCH(DF$94,$AO$94:$BB$94,0))/INDEX(고양시_재차인원!$D$4:$H$35,MATCH("고양시",고양시_재차인원!$B$4:$B$35,0),MATCH('A.일산테크노밸리(859991)_수정'!$DF$93,고양시_재차인원!$D$4:$H$4,0))</f>
        <v>52.447786810697913</v>
      </c>
      <c r="DG103" s="267">
        <f>INDEX($AO$93:$BB$106,MATCH($CW103,$L$93:$L$106,0),MATCH(DG$94,$AO$94:$BB$94,0))/INDEX(고양시_재차인원!$K$4:$O$20,MATCH("경기도",고양시_재차인원!$K$4:$K$20,0),MATCH('A.일산테크노밸리(859991)_수정'!DG$94,고양시_재차인원!$K$4:$O$4,0))</f>
        <v>2.2622543572249913E-3</v>
      </c>
      <c r="DH103" s="267">
        <f>INDEX($AO$93:$BB$106,MATCH($CW103,$L$93:$L$106,0),MATCH(DH$94,$AO$94:$BB$94,0))/INDEX(고양시_재차인원!$K$4:$O$20,MATCH("경기도",고양시_재차인원!$K$4:$K$20,0),MATCH('A.일산테크노밸리(859991)_수정'!DH$94,고양시_재차인원!$K$4:$O$4,0))</f>
        <v>8.9520636707331805E-2</v>
      </c>
      <c r="DI103" s="267">
        <f>INDEX($AO$93:$BB$106,MATCH($CW103,$L$93:$L$106,0),MATCH(DI$94,$AO$94:$BB$94,0))/INDEX(고양시_재차인원!$K$4:$O$20,MATCH("경기도",고양시_재차인원!$K$4:$K$20,0),MATCH('A.일산테크노밸리(859991)_수정'!DI$94,고양시_재차인원!$K$4:$O$4,0))</f>
        <v>1.5817359286523249</v>
      </c>
      <c r="DJ103" s="268">
        <f>INDEX($BC$93:$BP$106,MATCH($CW103,$L$93:$L$106,0),MATCH(DJ$94,$BC$94:$BP$94,0))/INDEX(고양시_재차인원!$D$4:$H$35,MATCH("고양시",고양시_재차인원!$B$4:$B$35,0),MATCH('A.일산테크노밸리(859991)_수정'!$DJ$93,고양시_재차인원!$D$4:$H$4,0))</f>
        <v>8.903161693451217E-2</v>
      </c>
      <c r="DK103" s="267">
        <f>INDEX($BC$93:$BP$106,MATCH($CW103,$L$93:$L$106,0),MATCH(DK$94,$BC$94:$BP$94,0))/INDEX(고양시_재차인원!$K$4:$O$20,MATCH("경기도",고양시_재차인원!$K$4:$K$20,0),MATCH('A.일산테크노밸리(859991)_수정'!DK$94,고양시_재차인원!$K$4:$O$4,0))</f>
        <v>2.6968279511033628E-4</v>
      </c>
      <c r="DL103" s="267">
        <f>INDEX($BC$93:$BP$106,MATCH($CW103,$L$93:$L$106,0),MATCH(DL$94,$BC$94:$BP$94,0))/INDEX(고양시_재차인원!$K$4:$O$20,MATCH("경기도",고양시_재차인원!$K$4:$K$20,0),MATCH('A.일산테크노밸리(859991)_수정'!DL$94,고양시_재차인원!$K$4:$O$4,0))</f>
        <v>1.7978853007355748E-4</v>
      </c>
      <c r="DM103" s="267">
        <f>INDEX($BC$93:$BP$106,MATCH($CW103,$L$93:$L$106,0),MATCH(DM$94,$BC$94:$BP$94,0))/INDEX(고양시_재차인원!$K$4:$O$20,MATCH("경기도",고양시_재차인원!$K$4:$K$20,0),MATCH('A.일산테크노밸리(859991)_수정'!DM$94,고양시_재차인원!$K$4:$O$4,0))</f>
        <v>7.4083709103982438E-4</v>
      </c>
      <c r="DN103" s="268">
        <f>INDEX($BQ$93:$CD$106,MATCH($CW103,$L$93:$L$106,0),MATCH(DN$94,$BQ$94:$CD$94,0))/INDEX(고양시_재차인원!$D$4:$H$35,MATCH("고양시",고양시_재차인원!$B$4:$B$35,0),MATCH('A.일산테크노밸리(859991)_수정'!$DN$93,고양시_재차인원!$D$4:$H$4,0))</f>
        <v>0.26864886102814145</v>
      </c>
      <c r="DO103" s="267">
        <f>INDEX($BQ$93:$CD$106,MATCH($CW103,$L$93:$L$106,0),MATCH(DO$94,$BQ$94:$CD$94,0))/INDEX(고양시_재차인원!$K$4:$O$20,MATCH("경기도",고양시_재차인원!$K$4:$K$20,0),MATCH('A.일산테크노밸리(859991)_수정'!DO$94,고양시_재차인원!$K$4:$O$4,0))</f>
        <v>1.0725237923973705E-3</v>
      </c>
      <c r="DP103" s="267">
        <f>INDEX($BQ$93:$CD$106,MATCH($CW103,$L$93:$L$106,0),MATCH(DP$94,$BQ$94:$CD$94,0))/INDEX(고양시_재차인원!$K$4:$O$20,MATCH("경기도",고양시_재차인원!$K$4:$K$20,0),MATCH('A.일산테크노밸리(859991)_수정'!DP$94,고양시_재차인원!$K$4:$O$4,0))</f>
        <v>3.5821143477744025E-3</v>
      </c>
      <c r="DQ103" s="267">
        <f>INDEX($BQ$93:$CD$106,MATCH($CW103,$L$93:$L$106,0),MATCH(DQ$94,$BQ$94:$CD$94,0))/INDEX(고양시_재차인원!$K$4:$O$20,MATCH("경기도",고양시_재차인원!$K$4:$K$20,0),MATCH('A.일산테크노밸리(859991)_수정'!DQ$94,고양시_재차인원!$K$4:$O$4,0))</f>
        <v>2.5777664863666313E-4</v>
      </c>
      <c r="DR103" s="269">
        <f t="shared" si="60"/>
        <v>515.80043379827589</v>
      </c>
      <c r="DS103" s="270">
        <f t="shared" si="52"/>
        <v>4.3828674054466454E-3</v>
      </c>
      <c r="DT103" s="270">
        <f t="shared" si="53"/>
        <v>2.2701329434227988</v>
      </c>
      <c r="DU103" s="270">
        <f t="shared" si="54"/>
        <v>56.048609578529529</v>
      </c>
      <c r="DW103" s="278"/>
      <c r="DX103" s="278" t="s">
        <v>481</v>
      </c>
      <c r="DY103" s="281">
        <f>DR105+DU105</f>
        <v>96.5240779792056</v>
      </c>
      <c r="DZ103" s="281">
        <f>DS105+DT105</f>
        <v>0.38392219770604341</v>
      </c>
      <c r="EC103" s="412" t="s">
        <v>15</v>
      </c>
      <c r="ED103" s="412" t="s">
        <v>574</v>
      </c>
      <c r="EE103" s="412">
        <v>10018.5584</v>
      </c>
      <c r="EF103" s="412">
        <v>4.6530094391220855E-2</v>
      </c>
      <c r="EG103" s="413">
        <v>859010</v>
      </c>
      <c r="EH103" s="414">
        <f t="shared" si="55"/>
        <v>367.92286015642634</v>
      </c>
      <c r="EI103" s="415">
        <f t="shared" si="56"/>
        <v>1.4634043237168144</v>
      </c>
      <c r="EJ103" s="402">
        <v>0</v>
      </c>
      <c r="EM103" s="278" t="s">
        <v>15</v>
      </c>
      <c r="EN103" s="278" t="s">
        <v>574</v>
      </c>
      <c r="EO103" s="278">
        <v>10018.5584</v>
      </c>
      <c r="EP103" s="278">
        <v>4.6530094391220855E-2</v>
      </c>
      <c r="EQ103" s="289">
        <v>859010</v>
      </c>
      <c r="ER103" s="290">
        <f t="shared" si="37"/>
        <v>367.92286015642634</v>
      </c>
      <c r="ES103" s="291">
        <f t="shared" si="38"/>
        <v>1.4634043237168144</v>
      </c>
      <c r="ET103" s="402">
        <v>0</v>
      </c>
      <c r="EV103" s="34"/>
      <c r="EW103" s="34"/>
      <c r="EX103" s="34"/>
      <c r="EY103" s="34"/>
      <c r="EZ103" s="378"/>
      <c r="FA103" s="401"/>
      <c r="FB103" s="402"/>
      <c r="FC103" s="402"/>
    </row>
    <row r="104" spans="1:159" ht="16.5" customHeight="1">
      <c r="A104" s="205"/>
      <c r="B104" s="205" t="s">
        <v>24</v>
      </c>
      <c r="C104" s="400">
        <f>'A.일산테크노밸리(859991)_수정'!$P37*KTDB_TripDistribution_2040!T$12 * (1+KTDB_발생량도착량_증가율!$D$8 *5) * (1+KTDB_발생량도착량_증가율!$E$8 *5) * (1+KTDB_발생량도착량_증가율!$F$8 *5)</f>
        <v>119.9688974794623</v>
      </c>
      <c r="D104" s="400">
        <f>'A.일산테크노밸리(859991)_수정'!$P37*KTDB_TripDistribution_2040!U$12 * (1+KTDB_발생량도착량_증가율!$D$8 *5) * (1+KTDB_발생량도착량_증가율!$E$8 *5) * (1+KTDB_발생량도착량_증가율!$F$8 *5)</f>
        <v>868.23945450012661</v>
      </c>
      <c r="E104" s="400">
        <f>'A.일산테크노밸리(859991)_수정'!$P37*KTDB_TripDistribution_2040!V$12 * (1+KTDB_발생량도착량_증가율!$D$8 *5) * (1+KTDB_발생량도착량_증가율!$E$8 *5) * (1+KTDB_발생량도착량_증가율!$F$8 *5)</f>
        <v>49.808748431555927</v>
      </c>
      <c r="F104" s="400">
        <f>'A.일산테크노밸리(859991)_수정'!$P37*KTDB_TripDistribution_2040!W$12 * (1+KTDB_발생량도착량_증가율!$D$8 *5) * (1+KTDB_발생량도착량_증가율!$E$8 *5) * (1+KTDB_발생량도착량_증가율!$F$8 *5)</f>
        <v>7.8274617755195522E-2</v>
      </c>
      <c r="G104" s="400">
        <f>'A.일산테크노밸리(859991)_수정'!$P37*KTDB_TripDistribution_2040!X$12 * (1+KTDB_발생량도착량_증가율!$D$8 *5) * (1+KTDB_발생량도착량_증가율!$E$8 *5) * (1+KTDB_발생량도착량_증가율!$F$8 *5)</f>
        <v>0.29570411151962656</v>
      </c>
      <c r="H104" s="400">
        <f>'A.일산테크노밸리(859991)_수정'!$P37*KTDB_TripDistribution_2040!Y$12 * (1+KTDB_발생량도착량_증가율!$D$8 *5) * (1+KTDB_발생량도착량_증가율!$E$8 *5) * (1+KTDB_발생량도착량_증가율!$F$8 *5)</f>
        <v>1038.3910791404198</v>
      </c>
      <c r="J104" s="230">
        <f t="shared" si="57"/>
        <v>1038.3910791404196</v>
      </c>
      <c r="K104" s="206"/>
      <c r="L104" s="209" t="s">
        <v>24</v>
      </c>
      <c r="M104" s="213">
        <f>INDEX($A$94:$H$106,MATCH($L104,$B$94:$B$106,0),MATCH($M$93,$A$94:$H$94,0))*고양시_Modal_split!C$3 * 0.01</f>
        <v>0.33591291294249437</v>
      </c>
      <c r="N104" s="213">
        <f>INDEX($A$94:$H$106,MATCH($L104,$B$94:$B$106,0),MATCH($M$93,$A$94:$H$94,0))*고양시_Modal_split!D$3 * 0.01</f>
        <v>56.421372484591124</v>
      </c>
      <c r="O104" s="213">
        <f>INDEX($A$94:$H$106,MATCH($L104,$B$94:$B$106,0),MATCH($M$93,$A$94:$H$94,0))*고양시_Modal_split!E$3 * 0.01</f>
        <v>6.8262302665814047</v>
      </c>
      <c r="P104" s="213">
        <f>INDEX($A$94:$H$106,MATCH($L104,$B$94:$B$106,0),MATCH($M$93,$A$94:$H$94,0))*고양시_Modal_split!F$3 * 0.01</f>
        <v>11.001147898866693</v>
      </c>
      <c r="Q104" s="213">
        <f>INDEX($A$94:$H$106,MATCH($L104,$B$94:$B$106,0),MATCH($M$93,$A$94:$H$94,0))*고양시_Modal_split!G$3 * 0.01</f>
        <v>1.1037138568110532</v>
      </c>
      <c r="R104" s="213">
        <f>INDEX($A$94:$H$106,MATCH($L104,$B$94:$B$106,0),MATCH($M$93,$A$94:$H$94,0))*고양시_Modal_split!H$3 * 0.01</f>
        <v>1.1996889747946231E-2</v>
      </c>
      <c r="S104" s="213">
        <f>INDEX($A$94:$H$106,MATCH($L104,$B$94:$B$106,0),MATCH($M$93,$A$94:$H$94,0))*고양시_Modal_split!I$3 * 0.01</f>
        <v>3.3351353499290521</v>
      </c>
      <c r="T104" s="213">
        <f>INDEX($A$94:$H$106,MATCH($L104,$B$94:$B$106,0),MATCH($M$93,$A$94:$H$94,0))*고양시_Modal_split!J$3 * 0.01</f>
        <v>36.518532392748327</v>
      </c>
      <c r="U104" s="213">
        <f>INDEX($A$94:$H$106,MATCH($L104,$B$94:$B$106,0),MATCH($M$93,$A$94:$H$94,0))*고양시_Modal_split!K$3 * 0.01</f>
        <v>0.17995334621919346</v>
      </c>
      <c r="V104" s="213">
        <f>INDEX($A$94:$H$106,MATCH($L104,$B$94:$B$106,0),MATCH($M$93,$A$94:$H$94,0))*고양시_Modal_split!L$3 * 0.01</f>
        <v>3.6230607038797618</v>
      </c>
      <c r="W104" s="213">
        <f>INDEX($A$94:$H$106,MATCH($L104,$B$94:$B$106,0),MATCH($M$93,$A$94:$H$94,0))*고양시_Modal_split!M$3 * 0.01</f>
        <v>0.27592846420276329</v>
      </c>
      <c r="X104" s="213">
        <f>INDEX($A$94:$H$106,MATCH($L104,$B$94:$B$106,0),MATCH($M$93,$A$94:$H$94,0))*고양시_Modal_split!N$3 * 0.01</f>
        <v>0.11996889747946231</v>
      </c>
      <c r="Y104" s="213">
        <f>INDEX($A$94:$H$106,MATCH($L104,$B$94:$B$106,0),MATCH($M$93,$A$94:$H$94,0))*고양시_Modal_split!O$3 * 0.01</f>
        <v>0.21594401546303213</v>
      </c>
      <c r="Z104" s="213">
        <f>INDEX($A$94:$H$106,MATCH($L104,$B$94:$B$106,0),MATCH($M$93,$A$94:$H$94,0))*고양시_Modal_split!P$3 * 0.01</f>
        <v>119.9688974794623</v>
      </c>
      <c r="AA104" s="213">
        <f>INDEX($A$94:$H$106,MATCH($L104,$B$94:$B$106,0),MATCH($AA$93,$A$94:$H$94,0))*고양시_Modal_split!C$4 * 0.01</f>
        <v>264.29208994983856</v>
      </c>
      <c r="AB104" s="213">
        <f>INDEX($A$94:$H$106,MATCH($L104,$B$94:$B$106,0),MATCH($AA$93,$A$94:$H$94,0))*고양시_Modal_split!D$4 * 0.01</f>
        <v>278.4443930581906</v>
      </c>
      <c r="AC104" s="213">
        <f>INDEX($A$94:$H$106,MATCH($L104,$B$94:$B$106,0),MATCH($AA$93,$A$94:$H$94,0))*고양시_Modal_split!E$4 * 0.01</f>
        <v>67.462205614659837</v>
      </c>
      <c r="AD104" s="213">
        <f>INDEX($A$94:$H$106,MATCH($L104,$B$94:$B$106,0),MATCH($AA$93,$A$94:$H$94,0))*고양시_Modal_split!F$4 * 0.01</f>
        <v>8.2482748177512022</v>
      </c>
      <c r="AE104" s="213">
        <f>INDEX($A$94:$H$106,MATCH($L104,$B$94:$B$106,0),MATCH($AA$93,$A$94:$H$94,0))*고양시_Modal_split!G$4 * 0.01</f>
        <v>101.67084012196482</v>
      </c>
      <c r="AF104" s="213">
        <f>INDEX($A$94:$H$106,MATCH($L104,$B$94:$B$106,0),MATCH($AA$93,$A$94:$H$94,0))*고양시_Modal_split!H$4 * 0.01</f>
        <v>0</v>
      </c>
      <c r="AG104" s="213">
        <f>INDEX($A$94:$H$106,MATCH($L104,$B$94:$B$106,0),MATCH($AA$93,$A$94:$H$94,0))*고양시_Modal_split!I$4 * 0.01</f>
        <v>30.214733016604402</v>
      </c>
      <c r="AH104" s="213">
        <f>INDEX($A$94:$H$106,MATCH($L104,$B$94:$B$106,0),MATCH($AA$93,$A$94:$H$94,0))*고양시_Modal_split!J$4 * 0.01</f>
        <v>40.894078306955961</v>
      </c>
      <c r="AI104" s="213">
        <f>INDEX($A$94:$H$106,MATCH($L104,$B$94:$B$106,0),MATCH($AA$93,$A$94:$H$94,0))*고양시_Modal_split!K$4 * 0.01</f>
        <v>0</v>
      </c>
      <c r="AJ104" s="213">
        <f>INDEX($A$94:$H$106,MATCH($L104,$B$94:$B$106,0),MATCH($AA$93,$A$94:$H$94,0))*고양시_Modal_split!L$4 * 0.01</f>
        <v>40.112662797905848</v>
      </c>
      <c r="AK104" s="213">
        <f>INDEX($A$94:$H$106,MATCH($L104,$B$94:$B$106,0),MATCH($AA$93,$A$94:$H$94,0))*고양시_Modal_split!M$4 * 0.01</f>
        <v>5.8172043451508486</v>
      </c>
      <c r="AL104" s="213">
        <f>INDEX($A$94:$H$106,MATCH($L104,$B$94:$B$106,0),MATCH($AA$93,$A$94:$H$94,0))*고양시_Modal_split!N$4 * 0.01</f>
        <v>21.705986362503165</v>
      </c>
      <c r="AM104" s="213">
        <f>INDEX($A$94:$H$106,MATCH($L104,$B$94:$B$106,0),MATCH($AA$93,$A$94:$H$94,0))*고양시_Modal_split!O$4 * 0.01</f>
        <v>9.3769861086013684</v>
      </c>
      <c r="AN104" s="213">
        <f>INDEX($A$94:$H$106,MATCH($L104,$B$94:$B$106,0),MATCH($AA$93,$A$94:$H$94,0))*고양시_Modal_split!P$4 * 0.01</f>
        <v>868.23945450012661</v>
      </c>
      <c r="AO104" s="213">
        <f>INDEX($A$94:$H$106,MATCH($L104,$B$94:$B$106,0),MATCH($AO$93,$A$94:$H$94,0))*고양시_Modal_split!C$5 * 0.01</f>
        <v>2.9885249058933555E-2</v>
      </c>
      <c r="AP104" s="213">
        <f>INDEX($A$94:$H$106,MATCH($L104,$B$94:$B$106,0),MATCH($AO$93,$A$94:$H$94,0))*고양시_Modal_split!D$5 * 0.01</f>
        <v>36.499850850644187</v>
      </c>
      <c r="AQ104" s="213">
        <f>INDEX($A$94:$H$106,MATCH($L104,$B$94:$B$106,0),MATCH($AO$93,$A$94:$H$94,0))*고양시_Modal_split!E$5 * 0.01</f>
        <v>4.9061617205082584</v>
      </c>
      <c r="AR104" s="213">
        <f>INDEX($A$94:$H$106,MATCH($L104,$B$94:$B$106,0),MATCH($AO$93,$A$94:$H$94,0))*고양시_Modal_split!F$5 * 0.01</f>
        <v>1.0459837170626747</v>
      </c>
      <c r="AS104" s="213">
        <f>INDEX($A$94:$H$106,MATCH($L104,$B$94:$B$106,0),MATCH($AO$93,$A$94:$H$94,0))*고양시_Modal_split!G$5 * 0.01</f>
        <v>0.32375686480511356</v>
      </c>
      <c r="AT104" s="213">
        <f>INDEX($A$94:$H$106,MATCH($L104,$B$94:$B$106,0),MATCH($AO$93,$A$94:$H$94,0))*고양시_Modal_split!H$5 * 0.01</f>
        <v>3.4866123902089145E-2</v>
      </c>
      <c r="AU104" s="213">
        <f>INDEX($A$94:$H$106,MATCH($L104,$B$94:$B$106,0),MATCH($AO$93,$A$94:$H$94,0))*고양시_Modal_split!I$5 * 0.01</f>
        <v>1.3797023315540993</v>
      </c>
      <c r="AV104" s="213">
        <f>INDEX($A$94:$H$106,MATCH($L104,$B$94:$B$106,0),MATCH($AO$93,$A$94:$H$94,0))*고양시_Modal_split!J$5 * 0.01</f>
        <v>3.1230085266585572</v>
      </c>
      <c r="AW104" s="213">
        <f>INDEX($A$94:$H$106,MATCH($L104,$B$94:$B$106,0),MATCH($AO$93,$A$94:$H$94,0))*고양시_Modal_split!K$5 * 0.01</f>
        <v>9.9617496863111856E-3</v>
      </c>
      <c r="AX104" s="213">
        <f>INDEX($A$94:$H$106,MATCH($L104,$B$94:$B$106,0),MATCH($AO$93,$A$94:$H$94,0))*고양시_Modal_split!L$5 * 0.01</f>
        <v>1.2701230850046761</v>
      </c>
      <c r="AY104" s="213">
        <f>INDEX($A$94:$H$106,MATCH($L104,$B$94:$B$106,0),MATCH($AO$93,$A$94:$H$94,0))*고양시_Modal_split!M$5 * 0.01</f>
        <v>0.3337186144914247</v>
      </c>
      <c r="AZ104" s="213">
        <f>INDEX($A$94:$H$106,MATCH($L104,$B$94:$B$106,0),MATCH($AO$93,$A$94:$H$94,0))*고양시_Modal_split!N$5 * 0.01</f>
        <v>8.4674872333645068E-2</v>
      </c>
      <c r="BA104" s="213">
        <f>INDEX($A$94:$H$106,MATCH($L104,$B$94:$B$106,0),MATCH($AO$93,$A$94:$H$94,0))*고양시_Modal_split!O$5 * 0.01</f>
        <v>0.76705472584596124</v>
      </c>
      <c r="BB104" s="213">
        <f>INDEX($A$94:$H$106,MATCH($L104,$B$94:$B$106,0),MATCH($AO$93,$A$94:$H$94,0))*고양시_Modal_split!P$5 * 0.01</f>
        <v>49.808748431555927</v>
      </c>
      <c r="BC104" s="213">
        <f>INDEX($A$94:$H$106,MATCH($L104,$B$94:$B$106,0),MATCH($BC$93,$A$94:$H$94,0))*고양시_Modal_split!C$6 * 0.01</f>
        <v>0</v>
      </c>
      <c r="BD104" s="207">
        <f>INDEX($A$94:$H$106,MATCH($L104,$B$94:$B$106,0),MATCH($BC$93,$A$94:$H$94,0))*고양시_Modal_split!D$6 * 0.01</f>
        <v>6.4819210963077398E-2</v>
      </c>
      <c r="BE104" s="207">
        <f>INDEX($A$94:$H$106,MATCH($L104,$B$94:$B$106,0),MATCH($BC$93,$A$94:$H$94,0))*고양시_Modal_split!E$6 * 0.01</f>
        <v>3.3658085634734076E-4</v>
      </c>
      <c r="BF104" s="207">
        <f>INDEX($A$94:$H$106,MATCH($L104,$B$94:$B$106,0),MATCH($BC$93,$A$94:$H$94,0))*고양시_Modal_split!F$6 * 0.01</f>
        <v>9.5495033661338537E-4</v>
      </c>
      <c r="BG104" s="207">
        <f>INDEX($A$94:$H$106,MATCH($L104,$B$94:$B$106,0),MATCH($BC$93,$A$94:$H$94,0))*고양시_Modal_split!G$6 * 0.01</f>
        <v>0</v>
      </c>
      <c r="BH104" s="207">
        <f>INDEX($A$94:$H$106,MATCH($L104,$B$94:$B$106,0),MATCH($BC$93,$A$94:$H$94,0))*고양시_Modal_split!H$6 * 0.01</f>
        <v>4.1563822028008821E-3</v>
      </c>
      <c r="BI104" s="207">
        <f>INDEX($A$94:$H$106,MATCH($L104,$B$94:$B$106,0),MATCH($BC$93,$A$94:$H$94,0))*고양시_Modal_split!I$6 * 0.01</f>
        <v>2.7709214685339217E-3</v>
      </c>
      <c r="BJ104" s="207">
        <f>INDEX($A$94:$H$106,MATCH($L104,$B$94:$B$106,0),MATCH($BC$93,$A$94:$H$94,0))*고양시_Modal_split!J$6 * 0.01</f>
        <v>3.8667661171066588E-3</v>
      </c>
      <c r="BK104" s="207">
        <f>INDEX($A$94:$H$106,MATCH($L104,$B$94:$B$106,0),MATCH($BC$93,$A$94:$H$94,0))*고양시_Modal_split!K$6 * 0.01</f>
        <v>0</v>
      </c>
      <c r="BL104" s="207">
        <f>INDEX($A$94:$H$106,MATCH($L104,$B$94:$B$106,0),MATCH($BC$93,$A$94:$H$94,0))*고양시_Modal_split!L$6 * 0.01</f>
        <v>5.9488709493948596E-4</v>
      </c>
      <c r="BM104" s="207">
        <f>INDEX($A$94:$H$106,MATCH($L104,$B$94:$B$106,0),MATCH($BC$93,$A$94:$H$94,0))*고양시_Modal_split!M$6 * 0.01</f>
        <v>7.1229902157227923E-4</v>
      </c>
      <c r="BN104" s="207">
        <f>INDEX($A$94:$H$106,MATCH($L104,$B$94:$B$106,0),MATCH($BC$93,$A$94:$H$94,0))*고양시_Modal_split!N$6 * 0.01</f>
        <v>0</v>
      </c>
      <c r="BO104" s="207">
        <f>INDEX($A$94:$H$106,MATCH($L104,$B$94:$B$106,0),MATCH($BC$93,$A$94:$H$94,0))*고양시_Modal_split!O$6 * 0.01</f>
        <v>6.2619694204156417E-5</v>
      </c>
      <c r="BP104" s="214">
        <f>INDEX($A$94:$H$106,MATCH($L104,$B$94:$B$106,0),MATCH($BC$93,$A$94:$H$94,0))*고양시_Modal_split!P$6 * 0.01</f>
        <v>7.8274617755195522E-2</v>
      </c>
      <c r="BQ104" s="213">
        <f>INDEX($A$94:$H$106,MATCH($L104,$B$94:$B$106,0),MATCH($BQ$93,$A$94:$H$94,0))*고양시_Modal_split!C$7 * 0.01</f>
        <v>0</v>
      </c>
      <c r="BR104" s="213">
        <f>INDEX($A$94:$H$106,MATCH($L104,$B$94:$B$106,0),MATCH($BQ$93,$A$94:$H$94,0))*고양시_Modal_split!D$7 * 0.01</f>
        <v>0.18120747953922717</v>
      </c>
      <c r="BS104" s="213">
        <f>INDEX($A$94:$H$106,MATCH($L104,$B$94:$B$106,0),MATCH($BQ$93,$A$94:$H$94,0))*고양시_Modal_split!E$7 * 0.01</f>
        <v>8.8415529344368343E-3</v>
      </c>
      <c r="BT104" s="213">
        <f>INDEX($A$94:$H$106,MATCH($L104,$B$94:$B$106,0),MATCH($BQ$93,$A$94:$H$94,0))*고양시_Modal_split!F$7 * 0.01</f>
        <v>2.9570411151962658E-3</v>
      </c>
      <c r="BU104" s="213">
        <f>INDEX($A$94:$H$106,MATCH($L104,$B$94:$B$106,0),MATCH($BQ$93,$A$94:$H$94,0))*고양시_Modal_split!G$7 * 0.01</f>
        <v>1.2419572683824314E-3</v>
      </c>
      <c r="BV104" s="213">
        <f>INDEX($A$94:$H$106,MATCH($L104,$B$94:$B$106,0),MATCH($BQ$93,$A$94:$H$94,0))*고양시_Modal_split!H$7 * 0.01</f>
        <v>1.6529859833947124E-2</v>
      </c>
      <c r="BW104" s="213">
        <f>INDEX($A$94:$H$106,MATCH($L104,$B$94:$B$106,0),MATCH($BQ$93,$A$94:$H$94,0))*고양시_Modal_split!I$7 * 0.01</f>
        <v>5.5207957620714281E-2</v>
      </c>
      <c r="BX104" s="213">
        <f>INDEX($A$94:$H$106,MATCH($L104,$B$94:$B$106,0),MATCH($BQ$93,$A$94:$H$94,0))*고양시_Modal_split!J$7 * 0.01</f>
        <v>5.9140822303925316E-5</v>
      </c>
      <c r="BY104" s="213">
        <f>INDEX($A$94:$H$106,MATCH($L104,$B$94:$B$106,0),MATCH($BQ$93,$A$94:$H$94,0))*고양시_Modal_split!K$7 * 0.01</f>
        <v>2.2769216587011247E-2</v>
      </c>
      <c r="BZ104" s="213">
        <f>INDEX($A$94:$H$106,MATCH($L104,$B$94:$B$106,0),MATCH($BQ$93,$A$94:$H$94,0))*고양시_Modal_split!L$7 * 0.01</f>
        <v>2.0699287806373858E-4</v>
      </c>
      <c r="CA104" s="213">
        <f>INDEX($A$94:$H$106,MATCH($L104,$B$94:$B$106,0),MATCH($BQ$93,$A$94:$H$94,0))*고양시_Modal_split!M$7 * 0.01</f>
        <v>5.5296668854170174E-3</v>
      </c>
      <c r="CB104" s="213">
        <f>INDEX($A$94:$H$106,MATCH($L104,$B$94:$B$106,0),MATCH($BQ$93,$A$94:$H$94,0))*고양시_Modal_split!N$7 * 0.01</f>
        <v>1.1532460349265436E-3</v>
      </c>
      <c r="CC104" s="213">
        <f>INDEX($A$94:$H$106,MATCH($L104,$B$94:$B$106,0),MATCH($BQ$93,$A$94:$H$94,0))*고양시_Modal_split!O$7 * 0.01</f>
        <v>0</v>
      </c>
      <c r="CD104" s="213">
        <f>INDEX($A$94:$H$106,MATCH($L104,$B$94:$B$106,0),MATCH($BQ$93,$A$94:$H$94,0))*고양시_Modal_split!P$7 * 0.01</f>
        <v>0.29570411151962656</v>
      </c>
      <c r="CE104" s="218">
        <f t="shared" si="58"/>
        <v>264.65788811183995</v>
      </c>
      <c r="CF104" s="208">
        <f t="shared" si="39"/>
        <v>371.61164308392824</v>
      </c>
      <c r="CG104" s="208">
        <f t="shared" si="40"/>
        <v>79.20377573554029</v>
      </c>
      <c r="CH104" s="208">
        <f t="shared" si="41"/>
        <v>20.299318425132377</v>
      </c>
      <c r="CI104" s="208">
        <f t="shared" si="42"/>
        <v>103.09955280084937</v>
      </c>
      <c r="CJ104" s="208">
        <f t="shared" si="43"/>
        <v>6.7549255686783383E-2</v>
      </c>
      <c r="CK104" s="208">
        <f t="shared" si="44"/>
        <v>34.9875495771768</v>
      </c>
      <c r="CL104" s="208">
        <f t="shared" si="45"/>
        <v>80.539545133302255</v>
      </c>
      <c r="CM104" s="208">
        <f t="shared" si="46"/>
        <v>0.2126843124925159</v>
      </c>
      <c r="CN104" s="208">
        <f t="shared" si="47"/>
        <v>45.006648466763288</v>
      </c>
      <c r="CO104" s="208">
        <f t="shared" si="48"/>
        <v>6.4330933897520266</v>
      </c>
      <c r="CP104" s="208">
        <f t="shared" si="49"/>
        <v>21.911783378351203</v>
      </c>
      <c r="CQ104" s="208">
        <f t="shared" si="50"/>
        <v>10.360047469604565</v>
      </c>
      <c r="CR104" s="219">
        <f t="shared" si="51"/>
        <v>1038.3910791404196</v>
      </c>
      <c r="CS104" s="225">
        <f t="shared" si="59"/>
        <v>0</v>
      </c>
      <c r="CV104" s="265"/>
      <c r="CW104" s="266" t="s">
        <v>24</v>
      </c>
      <c r="CX104" s="267">
        <f>INDEX($M$93:$Z$106,MATCH($CW104,$L$93:$L$106,0),MATCH(CX$94,$M$94:$Z$94,0))/INDEX(고양시_재차인원!$D$4:$H$35,MATCH("고양시",고양시_재차인원!$B$4:$B$35,0),MATCH('A.일산테크노밸리(859991)_수정'!$CX$93,고양시_재차인원!$D$4:$H$4,0))</f>
        <v>50.376225432670644</v>
      </c>
      <c r="CY104" s="267">
        <f>INDEX($M$93:$Z$106,MATCH($CW104,$L$93:$L$106,0),MATCH(CY$94,$M$94:$Z$94,0))/INDEX(고양시_재차인원!$K$4:$O$20,MATCH("경기도",고양시_재차인원!$K$4:$K$20,0),MATCH('A.일산테크노밸리(859991)_수정'!CY$94,고양시_재차인원!$K$4:$O$4,0))</f>
        <v>4.1670336047051865E-4</v>
      </c>
      <c r="CZ104" s="267">
        <f>INDEX($M$93:$Z$106,MATCH($CW104,$L$93:$L$106,0),MATCH(CZ$94,$M$94:$Z$94,0))/INDEX(고양시_재차인원!$K$4:$O$20,MATCH("경기도",고양시_재차인원!$K$4:$K$20,0),MATCH('A.일산테크노밸리(859991)_수정'!CZ$94,고양시_재차인원!$K$4:$O$4,0))</f>
        <v>0.11584353421080418</v>
      </c>
      <c r="DA104" s="267">
        <f>INDEX($M$93:$Z$106,MATCH($CW104,$L$93:$L$106,0),MATCH(DA$94,$M$94:$Z$94,0))/INDEX(고양시_재차인원!$K$4:$O$20,MATCH("경기도",고양시_재차인원!$K$4:$K$20,0),MATCH('A.일산테크노밸리(859991)_수정'!DA$94,고양시_재차인원!$K$4:$O$4,0))</f>
        <v>2.4153738025865077</v>
      </c>
      <c r="DB104" s="268">
        <f>INDEX($AA$93:$AN$106,MATCH($CW104,$L$93:$L$106,0),MATCH(DB$94,$AA$94:$AN$94,0))/INDEX(고양시_재차인원!$D$4:$H$35,MATCH("고양시",고양시_재차인원!$B$4:$B$35,0),MATCH('A.일산테크노밸리(859991)_수정'!$DB$93,고양시_재차인원!$D$4:$H$4,0))</f>
        <v>197.47829294907135</v>
      </c>
      <c r="DC104" s="267">
        <f>INDEX($AA$93:$AN$106,MATCH($CW104,$L$93:$L$106,0),MATCH(DC$94,$AA$94:$AN$94,0))/INDEX(고양시_재차인원!$K$4:$O$20,MATCH("경기도",고양시_재차인원!$K$4:$K$20,0),MATCH('A.일산테크노밸리(859991)_수정'!DC$94,고양시_재차인원!$K$4:$O$4,0))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4" s="267">
        <f>INDEX($AA$93:$AN$106,MATCH($CW104,$L$93:$L$106,0),MATCH(DD$94,$AA$94:$AN$94,0))/INDEX(고양시_재차인원!$K$4:$O$20,MATCH("경기도",고양시_재차인원!$K$4:$K$20,0),MATCH('A.일산테크노밸리(859991)_수정'!DD$94,고양시_재차인원!$K$4:$O$4,0))</f>
        <v>1.0494870794235638</v>
      </c>
      <c r="DE104" s="267">
        <f>INDEX($AA$93:$AN$106,MATCH($CW104,$L$93:$L$106,0),MATCH(DE$94,$AA$94:$AN$94,0))/INDEX(고양시_재차인원!$K$4:$O$20,MATCH("경기도",고양시_재차인원!$K$4:$K$20,0),MATCH('A.일산테크노밸리(859991)_수정'!DE$94,고양시_재차인원!$K$4:$O$4,0))</f>
        <v>26.7417751986039</v>
      </c>
      <c r="DF104" s="268">
        <f>INDEX($AO$93:$BB$106,MATCH($CW104,$L$93:$L$106,0),MATCH(DF$94,$AO$94:$BB$94,0))/INDEX(고양시_재차인원!$D$4:$H$35,MATCH("고양시",고양시_재차인원!$B$4:$B$35,0),MATCH('A.일산테크노밸리(859991)_수정'!$DF$93,고양시_재차인원!$D$4:$H$4,0))</f>
        <v>28.076808346649372</v>
      </c>
      <c r="DG104" s="267">
        <f>INDEX($AO$93:$BB$106,MATCH($CW104,$L$93:$L$106,0),MATCH(DG$94,$AO$94:$BB$94,0))/INDEX(고양시_재차인원!$K$4:$O$20,MATCH("경기도",고양시_재차인원!$K$4:$K$20,0),MATCH('A.일산테크노밸리(859991)_수정'!DG$94,고양시_재차인원!$K$4:$O$4,0))</f>
        <v>1.2110498055605816E-3</v>
      </c>
      <c r="DH104" s="267">
        <f>INDEX($AO$93:$BB$106,MATCH($CW104,$L$93:$L$106,0),MATCH(DH$94,$AO$94:$BB$94,0))/INDEX(고양시_재차인원!$K$4:$O$20,MATCH("경기도",고양시_재차인원!$K$4:$K$20,0),MATCH('A.일산테크노밸리(859991)_수정'!DH$94,고양시_재차인원!$K$4:$O$4,0))</f>
        <v>4.7922970877183023E-2</v>
      </c>
      <c r="DI104" s="267">
        <f>INDEX($AO$93:$BB$106,MATCH($CW104,$L$93:$L$106,0),MATCH(DI$94,$AO$94:$BB$94,0))/INDEX(고양시_재차인원!$K$4:$O$20,MATCH("경기도",고양시_재차인원!$K$4:$K$20,0),MATCH('A.일산테크노밸리(859991)_수정'!DI$94,고양시_재차인원!$K$4:$O$4,0))</f>
        <v>0.84674872333645068</v>
      </c>
      <c r="DJ104" s="268">
        <f>INDEX($BC$93:$BP$106,MATCH($CW104,$L$93:$L$106,0),MATCH(DJ$94,$BC$94:$BP$94,0))/INDEX(고양시_재차인원!$D$4:$H$35,MATCH("고양시",고양시_재차인원!$B$4:$B$35,0),MATCH('A.일산테크노밸리(859991)_수정'!$DJ$93,고양시_재차인원!$D$4:$H$4,0))</f>
        <v>4.7661184531674554E-2</v>
      </c>
      <c r="DK104" s="267">
        <f>INDEX($BC$93:$BP$106,MATCH($CW104,$L$93:$L$106,0),MATCH(DK$94,$BC$94:$BP$94,0))/INDEX(고양시_재차인원!$K$4:$O$20,MATCH("경기도",고양시_재차인원!$K$4:$K$20,0),MATCH('A.일산테크노밸리(859991)_수정'!DK$94,고양시_재차인원!$K$4:$O$4,0))</f>
        <v>1.4436895459537624E-4</v>
      </c>
      <c r="DL104" s="267">
        <f>INDEX($BC$93:$BP$106,MATCH($CW104,$L$93:$L$106,0),MATCH(DL$94,$BC$94:$BP$94,0))/INDEX(고양시_재차인원!$K$4:$O$20,MATCH("경기도",고양시_재차인원!$K$4:$K$20,0),MATCH('A.일산테크노밸리(859991)_수정'!DL$94,고양시_재차인원!$K$4:$O$4,0))</f>
        <v>9.6245969730250849E-5</v>
      </c>
      <c r="DM104" s="267">
        <f>INDEX($BC$93:$BP$106,MATCH($CW104,$L$93:$L$106,0),MATCH(DM$94,$BC$94:$BP$94,0))/INDEX(고양시_재차인원!$K$4:$O$20,MATCH("경기도",고양시_재차인원!$K$4:$K$20,0),MATCH('A.일산테크노밸리(859991)_수정'!DM$94,고양시_재차인원!$K$4:$O$4,0))</f>
        <v>3.9659139662632397E-4</v>
      </c>
      <c r="DN104" s="268">
        <f>INDEX($BQ$93:$CD$106,MATCH($CW104,$L$93:$L$106,0),MATCH(DN$94,$BQ$94:$CD$94,0))/INDEX(고양시_재차인원!$D$4:$H$35,MATCH("고양시",고양시_재차인원!$B$4:$B$35,0),MATCH('A.일산테크노밸리(859991)_수정'!$DN$93,고양시_재차인원!$D$4:$H$4,0))</f>
        <v>0.14381545995176759</v>
      </c>
      <c r="DO104" s="267">
        <f>INDEX($BQ$93:$CD$106,MATCH($CW104,$L$93:$L$106,0),MATCH(DO$94,$BQ$94:$CD$94,0))/INDEX(고양시_재차인원!$K$4:$O$20,MATCH("경기도",고양시_재차인원!$K$4:$K$20,0),MATCH('A.일산테크노밸리(859991)_수정'!DO$94,고양시_재차인원!$K$4:$O$4,0))</f>
        <v>5.7415282507631551E-4</v>
      </c>
      <c r="DP104" s="267">
        <f>INDEX($BQ$93:$CD$106,MATCH($CW104,$L$93:$L$106,0),MATCH(DP$94,$BQ$94:$CD$94,0))/INDEX(고양시_재차인원!$K$4:$O$20,MATCH("경기도",고양시_재차인원!$K$4:$K$20,0),MATCH('A.일산테크노밸리(859991)_수정'!DP$94,고양시_재차인원!$K$4:$O$4,0))</f>
        <v>1.9176088093335979E-3</v>
      </c>
      <c r="DQ104" s="267">
        <f>INDEX($BQ$93:$CD$106,MATCH($CW104,$L$93:$L$106,0),MATCH(DQ$94,$BQ$94:$CD$94,0))/INDEX(고양시_재차인원!$K$4:$O$20,MATCH("경기도",고양시_재차인원!$K$4:$K$20,0),MATCH('A.일산테크노밸리(859991)_수정'!DQ$94,고양시_재차인원!$K$4:$O$4,0))</f>
        <v>1.379952520424924E-4</v>
      </c>
      <c r="DR104" s="269">
        <f t="shared" si="60"/>
        <v>276.12280337287478</v>
      </c>
      <c r="DS104" s="270">
        <f t="shared" si="52"/>
        <v>2.3462749457027919E-3</v>
      </c>
      <c r="DT104" s="270">
        <f t="shared" si="53"/>
        <v>1.2152674392906149</v>
      </c>
      <c r="DU104" s="270">
        <f t="shared" si="54"/>
        <v>30.004432311175528</v>
      </c>
      <c r="DW104" s="278"/>
      <c r="DX104" s="278"/>
      <c r="DY104" s="281">
        <f>DR106+DU106</f>
        <v>11518.914096518456</v>
      </c>
      <c r="DZ104" s="281">
        <f>DS106+DT106</f>
        <v>45.816203663454914</v>
      </c>
      <c r="EC104" s="412" t="s">
        <v>15</v>
      </c>
      <c r="ED104" s="412" t="s">
        <v>84</v>
      </c>
      <c r="EE104" s="412">
        <v>5030.8546999999999</v>
      </c>
      <c r="EF104" s="412">
        <v>2.3365252236241602E-2</v>
      </c>
      <c r="EG104" s="413">
        <v>859011</v>
      </c>
      <c r="EH104" s="414">
        <f t="shared" si="55"/>
        <v>184.75377158607972</v>
      </c>
      <c r="EI104" s="415">
        <f t="shared" si="56"/>
        <v>0.73485368114149618</v>
      </c>
      <c r="EJ104" s="402">
        <v>0</v>
      </c>
      <c r="EM104" s="278" t="s">
        <v>15</v>
      </c>
      <c r="EN104" s="278" t="s">
        <v>84</v>
      </c>
      <c r="EO104" s="278">
        <v>5030.8546999999999</v>
      </c>
      <c r="EP104" s="278">
        <v>2.3365252236241602E-2</v>
      </c>
      <c r="EQ104" s="289">
        <v>859011</v>
      </c>
      <c r="ER104" s="290">
        <f t="shared" si="37"/>
        <v>184.75377158607972</v>
      </c>
      <c r="ES104" s="291">
        <f t="shared" si="38"/>
        <v>0.73485368114149618</v>
      </c>
      <c r="ET104" s="402">
        <v>0</v>
      </c>
      <c r="EV104" s="34"/>
      <c r="EW104" s="34"/>
      <c r="EX104" s="34"/>
      <c r="EY104" s="34"/>
      <c r="EZ104" s="378"/>
      <c r="FA104" s="401"/>
      <c r="FB104" s="402"/>
      <c r="FC104" s="402"/>
    </row>
    <row r="105" spans="1:159" ht="16.5" customHeight="1">
      <c r="A105" s="205"/>
      <c r="B105" s="205" t="s">
        <v>481</v>
      </c>
      <c r="C105" s="400">
        <f>'A.일산테크노밸리(859991)_수정'!$P38*KTDB_TripDistribution_2040!T$12 * (1+KTDB_발생량도착량_증가율!$D$8 *5) * (1+KTDB_발생량도착량_증가율!$E$8 *5) * (1+KTDB_발생량도착량_증가율!$F$8 *5)</f>
        <v>37.827040085183349</v>
      </c>
      <c r="D105" s="400">
        <f>'A.일산테크노밸리(859991)_수정'!$P38*KTDB_TripDistribution_2040!U$12 * (1+KTDB_발생량도착량_증가율!$D$8 *5) * (1+KTDB_발생량도착량_증가율!$E$8 *5) * (1+KTDB_발생량도착량_증가율!$F$8 *5)</f>
        <v>273.76202781672185</v>
      </c>
      <c r="E105" s="400">
        <f>'A.일산테크노밸리(859991)_수정'!$P38*KTDB_TripDistribution_2040!V$12 * (1+KTDB_발생량도착량_증가율!$D$8 *5) * (1+KTDB_발생량도착량_증가율!$E$8 *5) * (1+KTDB_발생량도착량_증가율!$F$8 *5)</f>
        <v>15.705049917924145</v>
      </c>
      <c r="F105" s="400">
        <f>'A.일산테크노밸리(859991)_수정'!$P38*KTDB_TripDistribution_2040!W$12 * (1+KTDB_발생량도착량_증가율!$D$8 *5) * (1+KTDB_발생량도착량_증가율!$E$8 *5) * (1+KTDB_발생량도착량_증가율!$F$8 *5)</f>
        <v>2.468053942051995E-2</v>
      </c>
      <c r="G105" s="400">
        <f>'A.일산테크노밸리(859991)_수정'!$P38*KTDB_TripDistribution_2040!X$12 * (1+KTDB_발생량도착량_증가율!$D$8 *5) * (1+KTDB_발생량도착량_증가율!$E$8 *5) * (1+KTDB_발생량도착량_증가율!$F$8 *5)</f>
        <v>9.3237593366408397E-2</v>
      </c>
      <c r="H105" s="400">
        <f>'A.일산테크노밸리(859991)_수정'!$P38*KTDB_TripDistribution_2040!Y$12 * (1+KTDB_발생량도착량_증가율!$D$8 *5) * (1+KTDB_발생량도착량_증가율!$E$8 *5) * (1+KTDB_발생량도착량_증가율!$F$8 *5)</f>
        <v>327.41203595261629</v>
      </c>
      <c r="J105" s="230">
        <f t="shared" si="57"/>
        <v>327.41203595261624</v>
      </c>
      <c r="K105" s="206"/>
      <c r="L105" s="209" t="s">
        <v>481</v>
      </c>
      <c r="M105" s="213">
        <f>INDEX($A$94:$H$106,MATCH($L105,$B$94:$B$106,0),MATCH($M$93,$A$94:$H$94,0))*고양시_Modal_split!C$3 * 0.01</f>
        <v>0.10591571223851336</v>
      </c>
      <c r="N105" s="213">
        <f>INDEX($A$94:$H$106,MATCH($L105,$B$94:$B$106,0),MATCH($M$93,$A$94:$H$94,0))*고양시_Modal_split!D$3 * 0.01</f>
        <v>17.790056952061729</v>
      </c>
      <c r="O105" s="213">
        <f>INDEX($A$94:$H$106,MATCH($L105,$B$94:$B$106,0),MATCH($M$93,$A$94:$H$94,0))*고양시_Modal_split!E$3 * 0.01</f>
        <v>2.1523585808469323</v>
      </c>
      <c r="P105" s="213">
        <f>INDEX($A$94:$H$106,MATCH($L105,$B$94:$B$106,0),MATCH($M$93,$A$94:$H$94,0))*고양시_Modal_split!F$3 * 0.01</f>
        <v>3.4687395758113131</v>
      </c>
      <c r="Q105" s="213">
        <f>INDEX($A$94:$H$106,MATCH($L105,$B$94:$B$106,0),MATCH($M$93,$A$94:$H$94,0))*고양시_Modal_split!G$3 * 0.01</f>
        <v>0.34800876878368675</v>
      </c>
      <c r="R105" s="213">
        <f>INDEX($A$94:$H$106,MATCH($L105,$B$94:$B$106,0),MATCH($M$93,$A$94:$H$94,0))*고양시_Modal_split!H$3 * 0.01</f>
        <v>3.7827040085183349E-3</v>
      </c>
      <c r="S105" s="213">
        <f>INDEX($A$94:$H$106,MATCH($L105,$B$94:$B$106,0),MATCH($M$93,$A$94:$H$94,0))*고양시_Modal_split!I$3 * 0.01</f>
        <v>1.0515917143680971</v>
      </c>
      <c r="T105" s="213">
        <f>INDEX($A$94:$H$106,MATCH($L105,$B$94:$B$106,0),MATCH($M$93,$A$94:$H$94,0))*고양시_Modal_split!J$3 * 0.01</f>
        <v>11.514551001929814</v>
      </c>
      <c r="U105" s="213">
        <f>INDEX($A$94:$H$106,MATCH($L105,$B$94:$B$106,0),MATCH($M$93,$A$94:$H$94,0))*고양시_Modal_split!K$3 * 0.01</f>
        <v>5.6740560127775022E-2</v>
      </c>
      <c r="V105" s="213">
        <f>INDEX($A$94:$H$106,MATCH($L105,$B$94:$B$106,0),MATCH($M$93,$A$94:$H$94,0))*고양시_Modal_split!L$3 * 0.01</f>
        <v>1.1423766105725373</v>
      </c>
      <c r="W105" s="213">
        <f>INDEX($A$94:$H$106,MATCH($L105,$B$94:$B$106,0),MATCH($M$93,$A$94:$H$94,0))*고양시_Modal_split!M$3 * 0.01</f>
        <v>8.7002192195921688E-2</v>
      </c>
      <c r="X105" s="213">
        <f>INDEX($A$94:$H$106,MATCH($L105,$B$94:$B$106,0),MATCH($M$93,$A$94:$H$94,0))*고양시_Modal_split!N$3 * 0.01</f>
        <v>3.7827040085183353E-2</v>
      </c>
      <c r="Y105" s="213">
        <f>INDEX($A$94:$H$106,MATCH($L105,$B$94:$B$106,0),MATCH($M$93,$A$94:$H$94,0))*고양시_Modal_split!O$3 * 0.01</f>
        <v>6.8088672153330018E-2</v>
      </c>
      <c r="Z105" s="213">
        <f>INDEX($A$94:$H$106,MATCH($L105,$B$94:$B$106,0),MATCH($M$93,$A$94:$H$94,0))*고양시_Modal_split!P$3 * 0.01</f>
        <v>37.827040085183349</v>
      </c>
      <c r="AA105" s="213">
        <f>INDEX($A$94:$H$106,MATCH($L105,$B$94:$B$106,0),MATCH($AA$93,$A$94:$H$94,0))*고양시_Modal_split!C$4 * 0.01</f>
        <v>83.333161267410148</v>
      </c>
      <c r="AB105" s="213">
        <f>INDEX($A$94:$H$106,MATCH($L105,$B$94:$B$106,0),MATCH($AA$93,$A$94:$H$94,0))*고양시_Modal_split!D$4 * 0.01</f>
        <v>87.7954823208227</v>
      </c>
      <c r="AC105" s="213">
        <f>INDEX($A$94:$H$106,MATCH($L105,$B$94:$B$106,0),MATCH($AA$93,$A$94:$H$94,0))*고양시_Modal_split!E$4 * 0.01</f>
        <v>21.271309561359288</v>
      </c>
      <c r="AD105" s="213">
        <f>INDEX($A$94:$H$106,MATCH($L105,$B$94:$B$106,0),MATCH($AA$93,$A$94:$H$94,0))*고양시_Modal_split!F$4 * 0.01</f>
        <v>2.6007392642588578</v>
      </c>
      <c r="AE105" s="213">
        <f>INDEX($A$94:$H$106,MATCH($L105,$B$94:$B$106,0),MATCH($AA$93,$A$94:$H$94,0))*고양시_Modal_split!G$4 * 0.01</f>
        <v>32.057533457338124</v>
      </c>
      <c r="AF105" s="213">
        <f>INDEX($A$94:$H$106,MATCH($L105,$B$94:$B$106,0),MATCH($AA$93,$A$94:$H$94,0))*고양시_Modal_split!H$4 * 0.01</f>
        <v>0</v>
      </c>
      <c r="AG105" s="213">
        <f>INDEX($A$94:$H$106,MATCH($L105,$B$94:$B$106,0),MATCH($AA$93,$A$94:$H$94,0))*고양시_Modal_split!I$4 * 0.01</f>
        <v>9.5269185680219195</v>
      </c>
      <c r="AH105" s="213">
        <f>INDEX($A$94:$H$106,MATCH($L105,$B$94:$B$106,0),MATCH($AA$93,$A$94:$H$94,0))*고양시_Modal_split!J$4 * 0.01</f>
        <v>12.8941915101676</v>
      </c>
      <c r="AI105" s="213">
        <f>INDEX($A$94:$H$106,MATCH($L105,$B$94:$B$106,0),MATCH($AA$93,$A$94:$H$94,0))*고양시_Modal_split!K$4 * 0.01</f>
        <v>0</v>
      </c>
      <c r="AJ105" s="213">
        <f>INDEX($A$94:$H$106,MATCH($L105,$B$94:$B$106,0),MATCH($AA$93,$A$94:$H$94,0))*고양시_Modal_split!L$4 * 0.01</f>
        <v>12.647805685132552</v>
      </c>
      <c r="AK105" s="213">
        <f>INDEX($A$94:$H$106,MATCH($L105,$B$94:$B$106,0),MATCH($AA$93,$A$94:$H$94,0))*고양시_Modal_split!M$4 * 0.01</f>
        <v>1.8342055863720363</v>
      </c>
      <c r="AL105" s="213">
        <f>INDEX($A$94:$H$106,MATCH($L105,$B$94:$B$106,0),MATCH($AA$93,$A$94:$H$94,0))*고양시_Modal_split!N$4 * 0.01</f>
        <v>6.8440506954180469</v>
      </c>
      <c r="AM105" s="213">
        <f>INDEX($A$94:$H$106,MATCH($L105,$B$94:$B$106,0),MATCH($AA$93,$A$94:$H$94,0))*고양시_Modal_split!O$4 * 0.01</f>
        <v>2.9566299004205963</v>
      </c>
      <c r="AN105" s="213">
        <f>INDEX($A$94:$H$106,MATCH($L105,$B$94:$B$106,0),MATCH($AA$93,$A$94:$H$94,0))*고양시_Modal_split!P$4 * 0.01</f>
        <v>273.76202781672185</v>
      </c>
      <c r="AO105" s="213">
        <f>INDEX($A$94:$H$106,MATCH($L105,$B$94:$B$106,0),MATCH($AO$93,$A$94:$H$94,0))*고양시_Modal_split!C$5 * 0.01</f>
        <v>9.4230299507544867E-3</v>
      </c>
      <c r="AP105" s="213">
        <f>INDEX($A$94:$H$106,MATCH($L105,$B$94:$B$106,0),MATCH($AO$93,$A$94:$H$94,0))*고양시_Modal_split!D$5 * 0.01</f>
        <v>11.508660579854814</v>
      </c>
      <c r="AQ105" s="213">
        <f>INDEX($A$94:$H$106,MATCH($L105,$B$94:$B$106,0),MATCH($AO$93,$A$94:$H$94,0))*고양시_Modal_split!E$5 * 0.01</f>
        <v>1.5469474169155282</v>
      </c>
      <c r="AR105" s="213">
        <f>INDEX($A$94:$H$106,MATCH($L105,$B$94:$B$106,0),MATCH($AO$93,$A$94:$H$94,0))*고양시_Modal_split!F$5 * 0.01</f>
        <v>0.32980604827640703</v>
      </c>
      <c r="AS105" s="213">
        <f>INDEX($A$94:$H$106,MATCH($L105,$B$94:$B$106,0),MATCH($AO$93,$A$94:$H$94,0))*고양시_Modal_split!G$5 * 0.01</f>
        <v>0.10208282446650695</v>
      </c>
      <c r="AT105" s="213">
        <f>INDEX($A$94:$H$106,MATCH($L105,$B$94:$B$106,0),MATCH($AO$93,$A$94:$H$94,0))*고양시_Modal_split!H$5 * 0.01</f>
        <v>1.0993534942546901E-2</v>
      </c>
      <c r="AU105" s="213">
        <f>INDEX($A$94:$H$106,MATCH($L105,$B$94:$B$106,0),MATCH($AO$93,$A$94:$H$94,0))*고양시_Modal_split!I$5 * 0.01</f>
        <v>0.43502988272649878</v>
      </c>
      <c r="AV105" s="213">
        <f>INDEX($A$94:$H$106,MATCH($L105,$B$94:$B$106,0),MATCH($AO$93,$A$94:$H$94,0))*고양시_Modal_split!J$5 * 0.01</f>
        <v>0.98470662985384394</v>
      </c>
      <c r="AW105" s="213">
        <f>INDEX($A$94:$H$106,MATCH($L105,$B$94:$B$106,0),MATCH($AO$93,$A$94:$H$94,0))*고양시_Modal_split!K$5 * 0.01</f>
        <v>3.1410099835848288E-3</v>
      </c>
      <c r="AX105" s="213">
        <f>INDEX($A$94:$H$106,MATCH($L105,$B$94:$B$106,0),MATCH($AO$93,$A$94:$H$94,0))*고양시_Modal_split!L$5 * 0.01</f>
        <v>0.40047877290706568</v>
      </c>
      <c r="AY105" s="213">
        <f>INDEX($A$94:$H$106,MATCH($L105,$B$94:$B$106,0),MATCH($AO$93,$A$94:$H$94,0))*고양시_Modal_split!M$5 * 0.01</f>
        <v>0.10522383445009177</v>
      </c>
      <c r="AZ105" s="213">
        <f>INDEX($A$94:$H$106,MATCH($L105,$B$94:$B$106,0),MATCH($AO$93,$A$94:$H$94,0))*고양시_Modal_split!N$5 * 0.01</f>
        <v>2.6698584860471046E-2</v>
      </c>
      <c r="BA105" s="213">
        <f>INDEX($A$94:$H$106,MATCH($L105,$B$94:$B$106,0),MATCH($AO$93,$A$94:$H$94,0))*고양시_Modal_split!O$5 * 0.01</f>
        <v>0.24185776873603182</v>
      </c>
      <c r="BB105" s="213">
        <f>INDEX($A$94:$H$106,MATCH($L105,$B$94:$B$106,0),MATCH($AO$93,$A$94:$H$94,0))*고양시_Modal_split!P$5 * 0.01</f>
        <v>15.705049917924145</v>
      </c>
      <c r="BC105" s="213">
        <f>INDEX($A$94:$H$106,MATCH($L105,$B$94:$B$106,0),MATCH($BC$93,$A$94:$H$94,0))*고양시_Modal_split!C$6 * 0.01</f>
        <v>0</v>
      </c>
      <c r="BD105" s="207">
        <f>INDEX($A$94:$H$106,MATCH($L105,$B$94:$B$106,0),MATCH($BC$93,$A$94:$H$94,0))*고양시_Modal_split!D$6 * 0.01</f>
        <v>2.0437954694132569E-2</v>
      </c>
      <c r="BE105" s="207">
        <f>INDEX($A$94:$H$106,MATCH($L105,$B$94:$B$106,0),MATCH($BC$93,$A$94:$H$94,0))*고양시_Modal_split!E$6 * 0.01</f>
        <v>1.0612631950823579E-4</v>
      </c>
      <c r="BF105" s="207">
        <f>INDEX($A$94:$H$106,MATCH($L105,$B$94:$B$106,0),MATCH($BC$93,$A$94:$H$94,0))*고양시_Modal_split!F$6 * 0.01</f>
        <v>3.0110258093034341E-4</v>
      </c>
      <c r="BG105" s="207">
        <f>INDEX($A$94:$H$106,MATCH($L105,$B$94:$B$106,0),MATCH($BC$93,$A$94:$H$94,0))*고양시_Modal_split!G$6 * 0.01</f>
        <v>0</v>
      </c>
      <c r="BH105" s="207">
        <f>INDEX($A$94:$H$106,MATCH($L105,$B$94:$B$106,0),MATCH($BC$93,$A$94:$H$94,0))*고양시_Modal_split!H$6 * 0.01</f>
        <v>1.3105366432296095E-3</v>
      </c>
      <c r="BI105" s="207">
        <f>INDEX($A$94:$H$106,MATCH($L105,$B$94:$B$106,0),MATCH($BC$93,$A$94:$H$94,0))*고양시_Modal_split!I$6 * 0.01</f>
        <v>8.7369109548640622E-4</v>
      </c>
      <c r="BJ105" s="207">
        <f>INDEX($A$94:$H$106,MATCH($L105,$B$94:$B$106,0),MATCH($BC$93,$A$94:$H$94,0))*고양시_Modal_split!J$6 * 0.01</f>
        <v>1.2192186473736855E-3</v>
      </c>
      <c r="BK105" s="207">
        <f>INDEX($A$94:$H$106,MATCH($L105,$B$94:$B$106,0),MATCH($BC$93,$A$94:$H$94,0))*고양시_Modal_split!K$6 * 0.01</f>
        <v>0</v>
      </c>
      <c r="BL105" s="207">
        <f>INDEX($A$94:$H$106,MATCH($L105,$B$94:$B$106,0),MATCH($BC$93,$A$94:$H$94,0))*고양시_Modal_split!L$6 * 0.01</f>
        <v>1.875720995959516E-4</v>
      </c>
      <c r="BM105" s="207">
        <f>INDEX($A$94:$H$106,MATCH($L105,$B$94:$B$106,0),MATCH($BC$93,$A$94:$H$94,0))*고양시_Modal_split!M$6 * 0.01</f>
        <v>2.2459290872673155E-4</v>
      </c>
      <c r="BN105" s="207">
        <f>INDEX($A$94:$H$106,MATCH($L105,$B$94:$B$106,0),MATCH($BC$93,$A$94:$H$94,0))*고양시_Modal_split!N$6 * 0.01</f>
        <v>0</v>
      </c>
      <c r="BO105" s="207">
        <f>INDEX($A$94:$H$106,MATCH($L105,$B$94:$B$106,0),MATCH($BC$93,$A$94:$H$94,0))*고양시_Modal_split!O$6 * 0.01</f>
        <v>1.9744431536415962E-5</v>
      </c>
      <c r="BP105" s="214">
        <f>INDEX($A$94:$H$106,MATCH($L105,$B$94:$B$106,0),MATCH($BC$93,$A$94:$H$94,0))*고양시_Modal_split!P$6 * 0.01</f>
        <v>2.468053942051995E-2</v>
      </c>
      <c r="BQ105" s="213">
        <f>INDEX($A$94:$H$106,MATCH($L105,$B$94:$B$106,0),MATCH($BQ$93,$A$94:$H$94,0))*고양시_Modal_split!C$7 * 0.01</f>
        <v>0</v>
      </c>
      <c r="BR105" s="213">
        <f>INDEX($A$94:$H$106,MATCH($L105,$B$94:$B$106,0),MATCH($BQ$93,$A$94:$H$94,0))*고양시_Modal_split!D$7 * 0.01</f>
        <v>5.7135997214935071E-2</v>
      </c>
      <c r="BS105" s="213">
        <f>INDEX($A$94:$H$106,MATCH($L105,$B$94:$B$106,0),MATCH($BQ$93,$A$94:$H$94,0))*고양시_Modal_split!E$7 * 0.01</f>
        <v>2.7878040416556109E-3</v>
      </c>
      <c r="BT105" s="213">
        <f>INDEX($A$94:$H$106,MATCH($L105,$B$94:$B$106,0),MATCH($BQ$93,$A$94:$H$94,0))*고양시_Modal_split!F$7 * 0.01</f>
        <v>9.3237593366408402E-4</v>
      </c>
      <c r="BU105" s="213">
        <f>INDEX($A$94:$H$106,MATCH($L105,$B$94:$B$106,0),MATCH($BQ$93,$A$94:$H$94,0))*고양시_Modal_split!G$7 * 0.01</f>
        <v>3.9159789213891524E-4</v>
      </c>
      <c r="BV105" s="213">
        <f>INDEX($A$94:$H$106,MATCH($L105,$B$94:$B$106,0),MATCH($BQ$93,$A$94:$H$94,0))*고양시_Modal_split!H$7 * 0.01</f>
        <v>5.2119814691822296E-3</v>
      </c>
      <c r="BW105" s="213">
        <f>INDEX($A$94:$H$106,MATCH($L105,$B$94:$B$106,0),MATCH($BQ$93,$A$94:$H$94,0))*고양시_Modal_split!I$7 * 0.01</f>
        <v>1.7407458681508451E-2</v>
      </c>
      <c r="BX105" s="213">
        <f>INDEX($A$94:$H$106,MATCH($L105,$B$94:$B$106,0),MATCH($BQ$93,$A$94:$H$94,0))*고양시_Modal_split!J$7 * 0.01</f>
        <v>1.8647518673281682E-5</v>
      </c>
      <c r="BY105" s="213">
        <f>INDEX($A$94:$H$106,MATCH($L105,$B$94:$B$106,0),MATCH($BQ$93,$A$94:$H$94,0))*고양시_Modal_split!K$7 * 0.01</f>
        <v>7.1792946892134469E-3</v>
      </c>
      <c r="BZ105" s="213">
        <f>INDEX($A$94:$H$106,MATCH($L105,$B$94:$B$106,0),MATCH($BQ$93,$A$94:$H$94,0))*고양시_Modal_split!L$7 * 0.01</f>
        <v>6.5266315356485874E-5</v>
      </c>
      <c r="CA105" s="213">
        <f>INDEX($A$94:$H$106,MATCH($L105,$B$94:$B$106,0),MATCH($BQ$93,$A$94:$H$94,0))*고양시_Modal_split!M$7 * 0.01</f>
        <v>1.7435429959518373E-3</v>
      </c>
      <c r="CB105" s="213">
        <f>INDEX($A$94:$H$106,MATCH($L105,$B$94:$B$106,0),MATCH($BQ$93,$A$94:$H$94,0))*고양시_Modal_split!N$7 * 0.01</f>
        <v>3.636266141289927E-4</v>
      </c>
      <c r="CC105" s="213">
        <f>INDEX($A$94:$H$106,MATCH($L105,$B$94:$B$106,0),MATCH($BQ$93,$A$94:$H$94,0))*고양시_Modal_split!O$7 * 0.01</f>
        <v>0</v>
      </c>
      <c r="CD105" s="213">
        <f>INDEX($A$94:$H$106,MATCH($L105,$B$94:$B$106,0),MATCH($BQ$93,$A$94:$H$94,0))*고양시_Modal_split!P$7 * 0.01</f>
        <v>9.3237593366408411E-2</v>
      </c>
      <c r="CE105" s="218">
        <f t="shared" si="58"/>
        <v>83.448500009599414</v>
      </c>
      <c r="CF105" s="208">
        <f t="shared" si="39"/>
        <v>117.17177380464831</v>
      </c>
      <c r="CG105" s="208">
        <f t="shared" si="40"/>
        <v>24.973509489482915</v>
      </c>
      <c r="CH105" s="208">
        <f t="shared" si="41"/>
        <v>6.4005183668611734</v>
      </c>
      <c r="CI105" s="208">
        <f t="shared" si="42"/>
        <v>32.508016648480456</v>
      </c>
      <c r="CJ105" s="208">
        <f t="shared" si="43"/>
        <v>2.1298757063477076E-2</v>
      </c>
      <c r="CK105" s="208">
        <f t="shared" si="44"/>
        <v>11.031821314893511</v>
      </c>
      <c r="CL105" s="208">
        <f t="shared" si="45"/>
        <v>25.394687008117302</v>
      </c>
      <c r="CM105" s="208">
        <f t="shared" si="46"/>
        <v>6.70608648005733E-2</v>
      </c>
      <c r="CN105" s="208">
        <f t="shared" si="47"/>
        <v>14.190913907027108</v>
      </c>
      <c r="CO105" s="208">
        <f t="shared" si="48"/>
        <v>2.0283997489227286</v>
      </c>
      <c r="CP105" s="208">
        <f t="shared" si="49"/>
        <v>6.9089399469778296</v>
      </c>
      <c r="CQ105" s="208">
        <f t="shared" si="50"/>
        <v>3.2665960857414942</v>
      </c>
      <c r="CR105" s="219">
        <f t="shared" si="51"/>
        <v>327.41203595261624</v>
      </c>
      <c r="CS105" s="225">
        <f t="shared" si="59"/>
        <v>0</v>
      </c>
      <c r="CV105" s="265"/>
      <c r="CW105" s="266" t="s">
        <v>481</v>
      </c>
      <c r="CX105" s="267">
        <f>INDEX($M$93:$Z$106,MATCH($CW105,$L$93:$L$106,0),MATCH(CX$94,$M$94:$Z$94,0))/INDEX(고양시_재차인원!$D$4:$H$35,MATCH("고양시",고양시_재차인원!$B$4:$B$35,0),MATCH('A.일산테크노밸리(859991)_수정'!$CX$93,고양시_재차인원!$D$4:$H$4,0))</f>
        <v>15.883979421483685</v>
      </c>
      <c r="CY105" s="267">
        <f>INDEX($M$93:$Z$106,MATCH($CW105,$L$93:$L$106,0),MATCH(CY$94,$M$94:$Z$94,0))/INDEX(고양시_재차인원!$K$4:$O$20,MATCH("경기도",고양시_재차인원!$K$4:$K$20,0),MATCH('A.일산테크노밸리(859991)_수정'!CY$94,고양시_재차인원!$K$4:$O$4,0))</f>
        <v>1.3138951054249168E-4</v>
      </c>
      <c r="CZ105" s="267">
        <f>INDEX($M$93:$Z$106,MATCH($CW105,$L$93:$L$106,0),MATCH(CZ$94,$M$94:$Z$94,0))/INDEX(고양시_재차인원!$K$4:$O$20,MATCH("경기도",고양시_재차인원!$K$4:$K$20,0),MATCH('A.일산테크노밸리(859991)_수정'!CZ$94,고양시_재차인원!$K$4:$O$4,0))</f>
        <v>3.6526283930812684E-2</v>
      </c>
      <c r="DA105" s="267">
        <f>INDEX($M$93:$Z$106,MATCH($CW105,$L$93:$L$106,0),MATCH(DA$94,$M$94:$Z$94,0))/INDEX(고양시_재차인원!$K$4:$O$20,MATCH("경기도",고양시_재차인원!$K$4:$K$20,0),MATCH('A.일산테크노밸리(859991)_수정'!DA$94,고양시_재차인원!$K$4:$O$4,0))</f>
        <v>0.76158440704835817</v>
      </c>
      <c r="DB105" s="268">
        <f>INDEX($AA$93:$AN$106,MATCH($CW105,$L$93:$L$106,0),MATCH(DB$94,$AA$94:$AN$94,0))/INDEX(고양시_재차인원!$D$4:$H$35,MATCH("고양시",고양시_재차인원!$B$4:$B$35,0),MATCH('A.일산테크노밸리(859991)_수정'!$DB$93,고양시_재차인원!$D$4:$H$4,0))</f>
        <v>62.266299518313978</v>
      </c>
      <c r="DC105" s="267">
        <f>INDEX($AA$93:$AN$106,MATCH($CW105,$L$93:$L$106,0),MATCH(DC$94,$AA$94:$AN$94,0))/INDEX(고양시_재차인원!$K$4:$O$20,MATCH("경기도",고양시_재차인원!$K$4:$K$20,0),MATCH('A.일산테크노밸리(859991)_수정'!DC$94,고양시_재차인원!$K$4:$O$4,0))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5" s="267">
        <f>INDEX($AA$93:$AN$106,MATCH($CW105,$L$93:$L$106,0),MATCH(DD$94,$AA$94:$AN$94,0))/INDEX(고양시_재차인원!$K$4:$O$20,MATCH("경기도",고양시_재차인원!$K$4:$K$20,0),MATCH('A.일산테크노밸리(859991)_수정'!DD$94,고양시_재차인원!$K$4:$O$4,0))</f>
        <v>0.33091068315463423</v>
      </c>
      <c r="DE105" s="267">
        <f>INDEX($AA$93:$AN$106,MATCH($CW105,$L$93:$L$106,0),MATCH(DE$94,$AA$94:$AN$94,0))/INDEX(고양시_재차인원!$K$4:$O$20,MATCH("경기도",고양시_재차인원!$K$4:$K$20,0),MATCH('A.일산테크노밸리(859991)_수정'!DE$94,고양시_재차인원!$K$4:$O$4,0))</f>
        <v>8.4318704567550338</v>
      </c>
      <c r="DF105" s="268">
        <f>INDEX($AO$93:$BB$106,MATCH($CW105,$L$93:$L$106,0),MATCH(DF$94,$AO$94:$BB$94,0))/INDEX(고양시_재차인원!$D$4:$H$35,MATCH("고양시",고양시_재차인원!$B$4:$B$35,0),MATCH('A.일산테크노밸리(859991)_수정'!$DF$93,고양시_재차인원!$D$4:$H$4,0))</f>
        <v>8.8528158306575495</v>
      </c>
      <c r="DG105" s="267">
        <f>INDEX($AO$93:$BB$106,MATCH($CW105,$L$93:$L$106,0),MATCH(DG$94,$AO$94:$BB$94,0))/INDEX(고양시_재차인원!$K$4:$O$20,MATCH("경기도",고양시_재차인원!$K$4:$K$20,0),MATCH('A.일산테크노밸리(859991)_수정'!DG$94,고양시_재차인원!$K$4:$O$4,0))</f>
        <v>3.8185255097418898E-4</v>
      </c>
      <c r="DH105" s="267">
        <f>INDEX($AO$93:$BB$106,MATCH($CW105,$L$93:$L$106,0),MATCH(DH$94,$AO$94:$BB$94,0))/INDEX(고양시_재차인원!$K$4:$O$20,MATCH("경기도",고양시_재차인원!$K$4:$K$20,0),MATCH('A.일산테크노밸리(859991)_수정'!DH$94,고양시_재차인원!$K$4:$O$4,0))</f>
        <v>1.5110450945692907E-2</v>
      </c>
      <c r="DI105" s="267">
        <f>INDEX($AO$93:$BB$106,MATCH($CW105,$L$93:$L$106,0),MATCH(DI$94,$AO$94:$BB$94,0))/INDEX(고양시_재차인원!$K$4:$O$20,MATCH("경기도",고양시_재차인원!$K$4:$K$20,0),MATCH('A.일산테크노밸리(859991)_수정'!DI$94,고양시_재차인원!$K$4:$O$4,0))</f>
        <v>0.26698584860471047</v>
      </c>
      <c r="DJ105" s="268">
        <f>INDEX($BC$93:$BP$106,MATCH($CW105,$L$93:$L$106,0),MATCH(DJ$94,$BC$94:$BP$94,0))/INDEX(고양시_재차인원!$D$4:$H$35,MATCH("고양시",고양시_재차인원!$B$4:$B$35,0),MATCH('A.일산테크노밸리(859991)_수정'!$DJ$93,고양시_재차인원!$D$4:$H$4,0))</f>
        <v>1.502790786333277E-2</v>
      </c>
      <c r="DK105" s="267">
        <f>INDEX($BC$93:$BP$106,MATCH($CW105,$L$93:$L$106,0),MATCH(DK$94,$BC$94:$BP$94,0))/INDEX(고양시_재차인원!$K$4:$O$20,MATCH("경기도",고양시_재차인원!$K$4:$K$20,0),MATCH('A.일산테크노밸리(859991)_수정'!DK$94,고양시_재차인원!$K$4:$O$4,0))</f>
        <v>4.5520550303216723E-5</v>
      </c>
      <c r="DL105" s="267">
        <f>INDEX($BC$93:$BP$106,MATCH($CW105,$L$93:$L$106,0),MATCH(DL$94,$BC$94:$BP$94,0))/INDEX(고양시_재차인원!$K$4:$O$20,MATCH("경기도",고양시_재차인원!$K$4:$K$20,0),MATCH('A.일산테크노밸리(859991)_수정'!DL$94,고양시_재차인원!$K$4:$O$4,0))</f>
        <v>3.0347033535477813E-5</v>
      </c>
      <c r="DM105" s="267">
        <f>INDEX($BC$93:$BP$106,MATCH($CW105,$L$93:$L$106,0),MATCH(DM$94,$BC$94:$BP$94,0))/INDEX(고양시_재차인원!$K$4:$O$20,MATCH("경기도",고양시_재차인원!$K$4:$K$20,0),MATCH('A.일산테크노밸리(859991)_수정'!DM$94,고양시_재차인원!$K$4:$O$4,0))</f>
        <v>1.2504806639730107E-4</v>
      </c>
      <c r="DN105" s="268">
        <f>INDEX($BQ$93:$CD$106,MATCH($CW105,$L$93:$L$106,0),MATCH(DN$94,$BQ$94:$CD$94,0))/INDEX(고양시_재차인원!$D$4:$H$35,MATCH("고양시",고양시_재차인원!$B$4:$B$35,0),MATCH('A.일산테크노밸리(859991)_수정'!$DN$93,고양시_재차인원!$D$4:$H$4,0))</f>
        <v>4.5346029535662753E-2</v>
      </c>
      <c r="DO105" s="267">
        <f>INDEX($BQ$93:$CD$106,MATCH($CW105,$L$93:$L$106,0),MATCH(DO$94,$BQ$94:$CD$94,0))/INDEX(고양시_재차인원!$K$4:$O$20,MATCH("경기도",고양시_재차인원!$K$4:$K$20,0),MATCH('A.일산테크노밸리(859991)_수정'!DO$94,고양시_재차인원!$K$4:$O$4,0))</f>
        <v>1.8103443797090065E-4</v>
      </c>
      <c r="DP105" s="267">
        <f>INDEX($BQ$93:$CD$106,MATCH($CW105,$L$93:$L$106,0),MATCH(DP$94,$BQ$94:$CD$94,0))/INDEX(고양시_재차인원!$K$4:$O$20,MATCH("경기도",고양시_재차인원!$K$4:$K$20,0),MATCH('A.일산테크노밸리(859991)_수정'!DP$94,고양시_재차인원!$K$4:$O$4,0))</f>
        <v>6.0463559157722998E-4</v>
      </c>
      <c r="DQ105" s="267">
        <f>INDEX($BQ$93:$CD$106,MATCH($CW105,$L$93:$L$106,0),MATCH(DQ$94,$BQ$94:$CD$94,0))/INDEX(고양시_재차인원!$K$4:$O$20,MATCH("경기도",고양시_재차인원!$K$4:$K$20,0),MATCH('A.일산테크노밸리(859991)_수정'!DQ$94,고양시_재차인원!$K$4:$O$4,0))</f>
        <v>4.3510876904323916E-5</v>
      </c>
      <c r="DR105" s="269">
        <f t="shared" si="60"/>
        <v>87.063468707854199</v>
      </c>
      <c r="DS105" s="270">
        <f t="shared" si="52"/>
        <v>7.3979704979079794E-4</v>
      </c>
      <c r="DT105" s="270">
        <f t="shared" si="53"/>
        <v>0.38318240065625259</v>
      </c>
      <c r="DU105" s="270">
        <f t="shared" si="54"/>
        <v>9.4606092713514052</v>
      </c>
      <c r="DW105" s="278"/>
      <c r="DX105" s="278"/>
      <c r="DY105" s="281" t="b">
        <f>SUM(DY95:DY103)=DY104</f>
        <v>1</v>
      </c>
      <c r="DZ105" s="281" t="b">
        <f>SUM(DZ95:DZ103)=DZ104</f>
        <v>1</v>
      </c>
      <c r="EC105" s="412" t="s">
        <v>15</v>
      </c>
      <c r="ED105" s="412" t="s">
        <v>89</v>
      </c>
      <c r="EE105" s="412">
        <v>6744.6391999999996</v>
      </c>
      <c r="EF105" s="412">
        <v>3.132473616271262E-2</v>
      </c>
      <c r="EG105" s="413">
        <v>859012</v>
      </c>
      <c r="EH105" s="414">
        <f t="shared" si="55"/>
        <v>247.69101961686937</v>
      </c>
      <c r="EI105" s="415">
        <f t="shared" si="56"/>
        <v>0.98518507085709217</v>
      </c>
      <c r="EJ105" s="402">
        <v>0</v>
      </c>
      <c r="EM105" s="278" t="s">
        <v>15</v>
      </c>
      <c r="EN105" s="278" t="s">
        <v>89</v>
      </c>
      <c r="EO105" s="278">
        <v>6744.6391999999996</v>
      </c>
      <c r="EP105" s="278">
        <v>3.132473616271262E-2</v>
      </c>
      <c r="EQ105" s="289">
        <v>859012</v>
      </c>
      <c r="ER105" s="290">
        <f t="shared" si="37"/>
        <v>247.69101961686937</v>
      </c>
      <c r="ES105" s="291">
        <f t="shared" si="38"/>
        <v>0.98518507085709217</v>
      </c>
      <c r="ET105" s="402">
        <v>0</v>
      </c>
      <c r="EV105" s="34"/>
      <c r="EW105" s="34"/>
      <c r="EX105" s="34"/>
      <c r="EY105" s="34"/>
      <c r="EZ105" s="378"/>
      <c r="FA105" s="401"/>
      <c r="FB105" s="402"/>
      <c r="FC105" s="402"/>
    </row>
    <row r="106" spans="1:159" ht="17.5" thickBot="1">
      <c r="A106" s="205"/>
      <c r="B106" s="205" t="s">
        <v>26</v>
      </c>
      <c r="C106" s="400">
        <f>'A.일산테크노밸리(859991)_수정'!$P39*KTDB_TripDistribution_2040!T$12 * (1+KTDB_발생량도착량_증가율!$D$8 *5) * (1+KTDB_발생량도착량_증가율!$E$8 *5) * (1+KTDB_발생량도착량_증가율!$F$8 *5)</f>
        <v>4514.1733999329845</v>
      </c>
      <c r="D106" s="400">
        <f>'A.일산테크노밸리(859991)_수정'!$P39*KTDB_TripDistribution_2040!U$12 * (1+KTDB_발생량도착량_증가율!$D$8 *5) * (1+KTDB_발생량도착량_증가율!$E$8 *5) * (1+KTDB_발생량도착량_증가율!$F$8 *5)</f>
        <v>32669.996412593213</v>
      </c>
      <c r="E106" s="400">
        <f>'A.일산테크노밸리(859991)_수정'!$P39*KTDB_TripDistribution_2040!V$12 * (1+KTDB_발생량도착량_증가율!$D$8 *5) * (1+KTDB_발생량도착량_증가율!$E$8 *5) * (1+KTDB_발생량도착량_증가율!$F$8 *5)</f>
        <v>1874.1968291587848</v>
      </c>
      <c r="F106" s="400">
        <f>'A.일산테크노밸리(859991)_수정'!$P39*KTDB_TripDistribution_2040!W$12 * (1+KTDB_발생량도착량_증가율!$D$8 *5) * (1+KTDB_발생량도착량_증가율!$E$8 *5) * (1+KTDB_발생량도착량_증가율!$F$8 *5)</f>
        <v>2.9453066985208864</v>
      </c>
      <c r="G106" s="400">
        <f>'A.일산테크노밸리(859991)_수정'!$P39*KTDB_TripDistribution_2040!X$12 * (1+KTDB_발생량도착량_증가율!$D$8 *5) * (1+KTDB_발생량도착량_증가율!$E$8 *5) * (1+KTDB_발생량도착량_증가율!$F$8 *5)</f>
        <v>11.1267141944122</v>
      </c>
      <c r="H106" s="400">
        <f>'A.일산테크노밸리(859991)_수정'!$P39*KTDB_TripDistribution_2040!Y$12 * (1+KTDB_발생량도착량_증가율!$D$8 *5) * (1+KTDB_발생량도착량_증가율!$E$8 *5) * (1+KTDB_발생량도착량_증가율!$F$8 *5)</f>
        <v>39072.438662577923</v>
      </c>
      <c r="I106" t="b">
        <f>H106=$P$39</f>
        <v>0</v>
      </c>
      <c r="J106" s="230">
        <f t="shared" si="57"/>
        <v>39072.438662577923</v>
      </c>
      <c r="K106" s="206"/>
      <c r="L106" s="209" t="s">
        <v>26</v>
      </c>
      <c r="M106" s="213">
        <f>INDEX($A$94:$H$106,MATCH($L106,$B$94:$B$106,0),MATCH($M$93,$A$94:$H$94,0))*고양시_Modal_split!C$3 * 0.01</f>
        <v>12.639685519812357</v>
      </c>
      <c r="N106" s="213">
        <f>INDEX($A$94:$H$106,MATCH($L106,$B$94:$B$106,0),MATCH($M$93,$A$94:$H$94,0))*고양시_Modal_split!D$3 * 0.01</f>
        <v>2123.0157499884826</v>
      </c>
      <c r="O106" s="213">
        <f>INDEX($A$94:$H$106,MATCH($L106,$B$94:$B$106,0),MATCH($M$93,$A$94:$H$94,0))*고양시_Modal_split!E$3 * 0.01</f>
        <v>256.85646645618681</v>
      </c>
      <c r="P106" s="213">
        <f>INDEX($A$94:$H$106,MATCH($L106,$B$94:$B$106,0),MATCH($M$93,$A$94:$H$94,0))*고양시_Modal_split!F$3 * 0.01</f>
        <v>413.94970077385466</v>
      </c>
      <c r="Q106" s="213">
        <f>INDEX($A$94:$H$106,MATCH($L106,$B$94:$B$106,0),MATCH($M$93,$A$94:$H$94,0))*고양시_Modal_split!G$3 * 0.01</f>
        <v>41.530395279383455</v>
      </c>
      <c r="R106" s="213">
        <f>INDEX($A$94:$H$106,MATCH($L106,$B$94:$B$106,0),MATCH($M$93,$A$94:$H$94,0))*고양시_Modal_split!H$3 * 0.01</f>
        <v>0.45141733999329847</v>
      </c>
      <c r="S106" s="213">
        <f>INDEX($A$94:$H$106,MATCH($L106,$B$94:$B$106,0),MATCH($M$93,$A$94:$H$94,0))*고양시_Modal_split!I$3 * 0.01</f>
        <v>125.49402051813696</v>
      </c>
      <c r="T106" s="213">
        <f>INDEX($A$94:$H$106,MATCH($L106,$B$94:$B$106,0),MATCH($M$93,$A$94:$H$94,0))*고양시_Modal_split!J$3 * 0.01</f>
        <v>1374.1143829396005</v>
      </c>
      <c r="U106" s="213">
        <f>INDEX($A$94:$H$106,MATCH($L106,$B$94:$B$106,0),MATCH($M$93,$A$94:$H$94,0))*고양시_Modal_split!K$3 * 0.01</f>
        <v>6.771260099899477</v>
      </c>
      <c r="V106" s="213">
        <f>INDEX($A$94:$H$106,MATCH($L106,$B$94:$B$106,0),MATCH($M$93,$A$94:$H$94,0))*고양시_Modal_split!L$3 * 0.01</f>
        <v>136.32803667797612</v>
      </c>
      <c r="W106" s="213">
        <f>INDEX($A$94:$H$106,MATCH($L106,$B$94:$B$106,0),MATCH($M$93,$A$94:$H$94,0))*고양시_Modal_split!M$3 * 0.01</f>
        <v>10.382598819845864</v>
      </c>
      <c r="X106" s="213">
        <f>INDEX($A$94:$H$106,MATCH($L106,$B$94:$B$106,0),MATCH($M$93,$A$94:$H$94,0))*고양시_Modal_split!N$3 * 0.01</f>
        <v>4.5141733999329849</v>
      </c>
      <c r="Y106" s="213">
        <f>INDEX($A$94:$H$106,MATCH($L106,$B$94:$B$106,0),MATCH($M$93,$A$94:$H$94,0))*고양시_Modal_split!O$3 * 0.01</f>
        <v>8.1255121198793727</v>
      </c>
      <c r="Z106" s="213">
        <f>INDEX($A$94:$H$106,MATCH($L106,$B$94:$B$106,0),MATCH($M$93,$A$94:$H$94,0))*고양시_Modal_split!P$3 * 0.01</f>
        <v>4514.1733999329845</v>
      </c>
      <c r="AA106" s="213">
        <f>INDEX($A$94:$H$106,MATCH($L106,$B$94:$B$106,0),MATCH($AA$93,$A$94:$H$94,0))*고양시_Modal_split!C$4 * 0.01</f>
        <v>9944.7469079933744</v>
      </c>
      <c r="AB106" s="213">
        <f>INDEX($A$94:$H$106,MATCH($L106,$B$94:$B$106,0),MATCH($AA$93,$A$94:$H$94,0))*고양시_Modal_split!D$4 * 0.01</f>
        <v>10477.267849518645</v>
      </c>
      <c r="AC106" s="213">
        <f>INDEX($A$94:$H$106,MATCH($L106,$B$94:$B$106,0),MATCH($AA$93,$A$94:$H$94,0))*고양시_Modal_split!E$4 * 0.01</f>
        <v>2538.4587212584929</v>
      </c>
      <c r="AD106" s="213">
        <f>INDEX($A$94:$H$106,MATCH($L106,$B$94:$B$106,0),MATCH($AA$93,$A$94:$H$94,0))*고양시_Modal_split!F$4 * 0.01</f>
        <v>310.36496591963549</v>
      </c>
      <c r="AE106" s="213">
        <f>INDEX($A$94:$H$106,MATCH($L106,$B$94:$B$106,0),MATCH($AA$93,$A$94:$H$94,0))*고양시_Modal_split!G$4 * 0.01</f>
        <v>3825.6565799146651</v>
      </c>
      <c r="AF106" s="213">
        <f>INDEX($A$94:$H$106,MATCH($L106,$B$94:$B$106,0),MATCH($AA$93,$A$94:$H$94,0))*고양시_Modal_split!H$4 * 0.01</f>
        <v>0</v>
      </c>
      <c r="AG106" s="213">
        <f>INDEX($A$94:$H$106,MATCH($L106,$B$94:$B$106,0),MATCH($AA$93,$A$94:$H$94,0))*고양시_Modal_split!I$4 * 0.01</f>
        <v>1136.9158751582438</v>
      </c>
      <c r="AH106" s="213">
        <f>INDEX($A$94:$H$106,MATCH($L106,$B$94:$B$106,0),MATCH($AA$93,$A$94:$H$94,0))*고양시_Modal_split!J$4 * 0.01</f>
        <v>1538.7568310331403</v>
      </c>
      <c r="AI106" s="213">
        <f>INDEX($A$94:$H$106,MATCH($L106,$B$94:$B$106,0),MATCH($AA$93,$A$94:$H$94,0))*고양시_Modal_split!K$4 * 0.01</f>
        <v>0</v>
      </c>
      <c r="AJ106" s="213">
        <f>INDEX($A$94:$H$106,MATCH($L106,$B$94:$B$106,0),MATCH($AA$93,$A$94:$H$94,0))*고양시_Modal_split!L$4 * 0.01</f>
        <v>1509.3538342618065</v>
      </c>
      <c r="AK106" s="213">
        <f>INDEX($A$94:$H$106,MATCH($L106,$B$94:$B$106,0),MATCH($AA$93,$A$94:$H$94,0))*고양시_Modal_split!M$4 * 0.01</f>
        <v>218.88897596437457</v>
      </c>
      <c r="AL106" s="213">
        <f>INDEX($A$94:$H$106,MATCH($L106,$B$94:$B$106,0),MATCH($AA$93,$A$94:$H$94,0))*고양시_Modal_split!N$4 * 0.01</f>
        <v>816.74991031483034</v>
      </c>
      <c r="AM106" s="213">
        <f>INDEX($A$94:$H$106,MATCH($L106,$B$94:$B$106,0),MATCH($AA$93,$A$94:$H$94,0))*고양시_Modal_split!O$4 * 0.01</f>
        <v>352.83596125600673</v>
      </c>
      <c r="AN106" s="213">
        <f>INDEX($A$94:$H$106,MATCH($L106,$B$94:$B$106,0),MATCH($AA$93,$A$94:$H$94,0))*고양시_Modal_split!P$4 * 0.01</f>
        <v>32669.996412593217</v>
      </c>
      <c r="AO106" s="213">
        <f>INDEX($A$94:$H$106,MATCH($L106,$B$94:$B$106,0),MATCH($AO$93,$A$94:$H$94,0))*고양시_Modal_split!C$5 * 0.01</f>
        <v>1.1245180974952709</v>
      </c>
      <c r="AP106" s="213">
        <f>INDEX($A$94:$H$106,MATCH($L106,$B$94:$B$106,0),MATCH($AO$93,$A$94:$H$94,0))*고양시_Modal_split!D$5 * 0.01</f>
        <v>1373.4114364075576</v>
      </c>
      <c r="AQ106" s="213">
        <f>INDEX($A$94:$H$106,MATCH($L106,$B$94:$B$106,0),MATCH($AO$93,$A$94:$H$94,0))*고양시_Modal_split!E$5 * 0.01</f>
        <v>184.60838767214031</v>
      </c>
      <c r="AR106" s="213">
        <f>INDEX($A$94:$H$106,MATCH($L106,$B$94:$B$106,0),MATCH($AO$93,$A$94:$H$94,0))*고양시_Modal_split!F$5 * 0.01</f>
        <v>39.358133412334482</v>
      </c>
      <c r="AS106" s="213">
        <f>INDEX($A$94:$H$106,MATCH($L106,$B$94:$B$106,0),MATCH($AO$93,$A$94:$H$94,0))*고양시_Modal_split!G$5 * 0.01</f>
        <v>12.182279389532102</v>
      </c>
      <c r="AT106" s="213">
        <f>INDEX($A$94:$H$106,MATCH($L106,$B$94:$B$106,0),MATCH($AO$93,$A$94:$H$94,0))*고양시_Modal_split!H$5 * 0.01</f>
        <v>1.3119377804111492</v>
      </c>
      <c r="AU106" s="213">
        <f>INDEX($A$94:$H$106,MATCH($L106,$B$94:$B$106,0),MATCH($AO$93,$A$94:$H$94,0))*고양시_Modal_split!I$5 * 0.01</f>
        <v>51.915252167698334</v>
      </c>
      <c r="AV106" s="213">
        <f>INDEX($A$94:$H$106,MATCH($L106,$B$94:$B$106,0),MATCH($AO$93,$A$94:$H$94,0))*고양시_Modal_split!J$5 * 0.01</f>
        <v>117.51214118825581</v>
      </c>
      <c r="AW106" s="213">
        <f>INDEX($A$94:$H$106,MATCH($L106,$B$94:$B$106,0),MATCH($AO$93,$A$94:$H$94,0))*고양시_Modal_split!K$5 * 0.01</f>
        <v>0.37483936583175698</v>
      </c>
      <c r="AX106" s="213">
        <f>INDEX($A$94:$H$106,MATCH($L106,$B$94:$B$106,0),MATCH($AO$93,$A$94:$H$94,0))*고양시_Modal_split!L$5 * 0.01</f>
        <v>47.792019143549005</v>
      </c>
      <c r="AY106" s="213">
        <f>INDEX($A$94:$H$106,MATCH($L106,$B$94:$B$106,0),MATCH($AO$93,$A$94:$H$94,0))*고양시_Modal_split!M$5 * 0.01</f>
        <v>12.557118755363859</v>
      </c>
      <c r="AZ106" s="213">
        <f>INDEX($A$94:$H$106,MATCH($L106,$B$94:$B$106,0),MATCH($AO$93,$A$94:$H$94,0))*고양시_Modal_split!N$5 * 0.01</f>
        <v>3.1861346095699337</v>
      </c>
      <c r="BA106" s="213">
        <f>INDEX($A$94:$H$106,MATCH($L106,$B$94:$B$106,0),MATCH($AO$93,$A$94:$H$94,0))*고양시_Modal_split!O$5 * 0.01</f>
        <v>28.862631169045287</v>
      </c>
      <c r="BB106" s="213">
        <f>INDEX($A$94:$H$106,MATCH($L106,$B$94:$B$106,0),MATCH($AO$93,$A$94:$H$94,0))*고양시_Modal_split!P$5 * 0.01</f>
        <v>1874.1968291587846</v>
      </c>
      <c r="BC106" s="215">
        <f>INDEX($A$94:$H$106,MATCH($L106,$B$94:$B$106,0),MATCH($BC$93,$A$94:$H$94,0))*고양시_Modal_split!C$6 * 0.01</f>
        <v>0</v>
      </c>
      <c r="BD106" s="216">
        <f>INDEX($A$94:$H$106,MATCH($L106,$B$94:$B$106,0),MATCH($BC$93,$A$94:$H$94,0))*고양시_Modal_split!D$6 * 0.01</f>
        <v>2.4390084770451459</v>
      </c>
      <c r="BE106" s="216">
        <f>INDEX($A$94:$H$106,MATCH($L106,$B$94:$B$106,0),MATCH($BC$93,$A$94:$H$94,0))*고양시_Modal_split!E$6 * 0.01</f>
        <v>1.2664818803639812E-2</v>
      </c>
      <c r="BF106" s="216">
        <f>INDEX($A$94:$H$106,MATCH($L106,$B$94:$B$106,0),MATCH($BC$93,$A$94:$H$94,0))*고양시_Modal_split!F$6 * 0.01</f>
        <v>3.5932741721954813E-2</v>
      </c>
      <c r="BG106" s="216">
        <f>INDEX($A$94:$H$106,MATCH($L106,$B$94:$B$106,0),MATCH($BC$93,$A$94:$H$94,0))*고양시_Modal_split!G$6 * 0.01</f>
        <v>0</v>
      </c>
      <c r="BH106" s="216">
        <f>INDEX($A$94:$H$106,MATCH($L106,$B$94:$B$106,0),MATCH($BC$93,$A$94:$H$94,0))*고양시_Modal_split!H$6 * 0.01</f>
        <v>0.15639578569145909</v>
      </c>
      <c r="BI106" s="216">
        <f>INDEX($A$94:$H$106,MATCH($L106,$B$94:$B$106,0),MATCH($BC$93,$A$94:$H$94,0))*고양시_Modal_split!I$6 * 0.01</f>
        <v>0.10426385712763939</v>
      </c>
      <c r="BJ106" s="216">
        <f>INDEX($A$94:$H$106,MATCH($L106,$B$94:$B$106,0),MATCH($BC$93,$A$94:$H$94,0))*고양시_Modal_split!J$6 * 0.01</f>
        <v>0.14549815090693177</v>
      </c>
      <c r="BK106" s="216">
        <f>INDEX($A$94:$H$106,MATCH($L106,$B$94:$B$106,0),MATCH($BC$93,$A$94:$H$94,0))*고양시_Modal_split!K$6 * 0.01</f>
        <v>0</v>
      </c>
      <c r="BL106" s="216">
        <f>INDEX($A$94:$H$106,MATCH($L106,$B$94:$B$106,0),MATCH($BC$93,$A$94:$H$94,0))*고양시_Modal_split!L$6 * 0.01</f>
        <v>2.2384330908758736E-2</v>
      </c>
      <c r="BM106" s="216">
        <f>INDEX($A$94:$H$106,MATCH($L106,$B$94:$B$106,0),MATCH($BC$93,$A$94:$H$94,0))*고양시_Modal_split!M$6 * 0.01</f>
        <v>2.6802290956540069E-2</v>
      </c>
      <c r="BN106" s="216">
        <f>INDEX($A$94:$H$106,MATCH($L106,$B$94:$B$106,0),MATCH($BC$93,$A$94:$H$94,0))*고양시_Modal_split!N$6 * 0.01</f>
        <v>0</v>
      </c>
      <c r="BO106" s="216">
        <f>INDEX($A$94:$H$106,MATCH($L106,$B$94:$B$106,0),MATCH($BC$93,$A$94:$H$94,0))*고양시_Modal_split!O$6 * 0.01</f>
        <v>2.3562453588167093E-3</v>
      </c>
      <c r="BP106" s="217">
        <f>INDEX($A$94:$H$106,MATCH($L106,$B$94:$B$106,0),MATCH($BC$93,$A$94:$H$94,0))*고양시_Modal_split!P$6 * 0.01</f>
        <v>2.9453066985208864</v>
      </c>
      <c r="BQ106" s="213">
        <f>INDEX($A$94:$H$106,MATCH($L106,$B$94:$B$106,0),MATCH($BQ$93,$A$94:$H$94,0))*고양시_Modal_split!C$7 * 0.01</f>
        <v>0</v>
      </c>
      <c r="BR106" s="213">
        <f>INDEX($A$94:$H$106,MATCH($L106,$B$94:$B$106,0),MATCH($BQ$93,$A$94:$H$94,0))*고양시_Modal_split!D$7 * 0.01</f>
        <v>6.8184504583357963</v>
      </c>
      <c r="BS106" s="213">
        <f>INDEX($A$94:$H$106,MATCH($L106,$B$94:$B$106,0),MATCH($BQ$93,$A$94:$H$94,0))*고양시_Modal_split!E$7 * 0.01</f>
        <v>0.33268875441292473</v>
      </c>
      <c r="BT106" s="213">
        <f>INDEX($A$94:$H$106,MATCH($L106,$B$94:$B$106,0),MATCH($BQ$93,$A$94:$H$94,0))*고양시_Modal_split!F$7 * 0.01</f>
        <v>0.111267141944122</v>
      </c>
      <c r="BU106" s="213">
        <f>INDEX($A$94:$H$106,MATCH($L106,$B$94:$B$106,0),MATCH($BQ$93,$A$94:$H$94,0))*고양시_Modal_split!G$7 * 0.01</f>
        <v>4.6732199616531238E-2</v>
      </c>
      <c r="BV106" s="213">
        <f>INDEX($A$94:$H$106,MATCH($L106,$B$94:$B$106,0),MATCH($BQ$93,$A$94:$H$94,0))*고양시_Modal_split!H$7 * 0.01</f>
        <v>0.62198332346764196</v>
      </c>
      <c r="BW106" s="213">
        <f>INDEX($A$94:$H$106,MATCH($L106,$B$94:$B$106,0),MATCH($BQ$93,$A$94:$H$94,0))*고양시_Modal_split!I$7 * 0.01</f>
        <v>2.0773575400967581</v>
      </c>
      <c r="BX106" s="213">
        <f>INDEX($A$94:$H$106,MATCH($L106,$B$94:$B$106,0),MATCH($BQ$93,$A$94:$H$94,0))*고양시_Modal_split!J$7 * 0.01</f>
        <v>2.22534283888244E-3</v>
      </c>
      <c r="BY106" s="213">
        <f>INDEX($A$94:$H$106,MATCH($L106,$B$94:$B$106,0),MATCH($BQ$93,$A$94:$H$94,0))*고양시_Modal_split!K$7 * 0.01</f>
        <v>0.85675699296973951</v>
      </c>
      <c r="BZ106" s="213">
        <f>INDEX($A$94:$H$106,MATCH($L106,$B$94:$B$106,0),MATCH($BQ$93,$A$94:$H$94,0))*고양시_Modal_split!L$7 * 0.01</f>
        <v>7.7886999360885388E-3</v>
      </c>
      <c r="CA106" s="213">
        <f>INDEX($A$94:$H$106,MATCH($L106,$B$94:$B$106,0),MATCH($BQ$93,$A$94:$H$94,0))*고양시_Modal_split!M$7 * 0.01</f>
        <v>0.20806955543550815</v>
      </c>
      <c r="CB106" s="213">
        <f>INDEX($A$94:$H$106,MATCH($L106,$B$94:$B$106,0),MATCH($BQ$93,$A$94:$H$94,0))*고양시_Modal_split!N$7 * 0.01</f>
        <v>4.3394185358207576E-2</v>
      </c>
      <c r="CC106" s="213">
        <f>INDEX($A$94:$H$106,MATCH($L106,$B$94:$B$106,0),MATCH($BQ$93,$A$94:$H$94,0))*고양시_Modal_split!O$7 * 0.01</f>
        <v>0</v>
      </c>
      <c r="CD106" s="213">
        <f>INDEX($A$94:$H$106,MATCH($L106,$B$94:$B$106,0),MATCH($BQ$93,$A$94:$H$94,0))*고양시_Modal_split!P$7 * 0.01</f>
        <v>11.1267141944122</v>
      </c>
      <c r="CE106" s="220">
        <f t="shared" si="58"/>
        <v>9958.5111116106818</v>
      </c>
      <c r="CF106" s="221">
        <f t="shared" si="39"/>
        <v>13982.952494850066</v>
      </c>
      <c r="CG106" s="221">
        <f t="shared" si="40"/>
        <v>2980.2689289600371</v>
      </c>
      <c r="CH106" s="221">
        <f t="shared" si="41"/>
        <v>763.81999998949073</v>
      </c>
      <c r="CI106" s="221">
        <f t="shared" si="42"/>
        <v>3879.4159867831972</v>
      </c>
      <c r="CJ106" s="221">
        <f t="shared" si="43"/>
        <v>2.5417342295635486</v>
      </c>
      <c r="CK106" s="221">
        <f t="shared" si="44"/>
        <v>1316.5067692413033</v>
      </c>
      <c r="CL106" s="221">
        <f t="shared" si="45"/>
        <v>3030.5310786547425</v>
      </c>
      <c r="CM106" s="221">
        <f t="shared" si="46"/>
        <v>8.0028564587009736</v>
      </c>
      <c r="CN106" s="221">
        <f t="shared" si="47"/>
        <v>1693.5040631141765</v>
      </c>
      <c r="CO106" s="221">
        <f t="shared" si="48"/>
        <v>242.06356538597635</v>
      </c>
      <c r="CP106" s="221">
        <f t="shared" si="49"/>
        <v>824.4936125096915</v>
      </c>
      <c r="CQ106" s="221">
        <f t="shared" si="50"/>
        <v>389.82646079029024</v>
      </c>
      <c r="CR106" s="222">
        <f t="shared" si="51"/>
        <v>39072.438662577923</v>
      </c>
      <c r="CS106" s="225">
        <f t="shared" si="59"/>
        <v>0</v>
      </c>
      <c r="CV106" s="265"/>
      <c r="CW106" s="266" t="s">
        <v>26</v>
      </c>
      <c r="CX106" s="267">
        <f>INDEX($M$93:$Z$106,MATCH($CW106,$L$93:$L$106,0),MATCH(CX$94,$M$94:$Z$94,0))/INDEX(고양시_재차인원!$D$4:$H$35,MATCH("고양시",고양시_재차인원!$B$4:$B$35,0),MATCH('A.일산테크노밸리(859991)_수정'!$CX$93,고양시_재차인원!$D$4:$H$4,0))</f>
        <v>1895.5497767754307</v>
      </c>
      <c r="CY106" s="267">
        <f>INDEX($M$93:$Z$106,MATCH($CW106,$L$93:$L$106,0),MATCH(CY$94,$M$94:$Z$94,0))/INDEX(고양시_재차인원!$K$4:$O$20,MATCH("경기도",고양시_재차인원!$K$4:$K$20,0),MATCH('A.일산테크노밸리(859991)_수정'!CY$94,고양시_재차인원!$K$4:$O$4,0))</f>
        <v>1.5679657519739439E-2</v>
      </c>
      <c r="CZ106" s="267">
        <f>INDEX($M$93:$Z$106,MATCH($CW106,$L$93:$L$106,0),MATCH(CZ$94,$M$94:$Z$94,0))/INDEX(고양시_재차인원!$K$4:$O$20,MATCH("경기도",고양시_재차인원!$K$4:$K$20,0),MATCH('A.일산테크노밸리(859991)_수정'!CZ$94,고양시_재차인원!$K$4:$O$4,0))</f>
        <v>4.3589447904875636</v>
      </c>
      <c r="DA106" s="267">
        <f>INDEX($M$93:$Z$106,MATCH($CW106,$L$93:$L$106,0),MATCH(DA$94,$M$94:$Z$94,0))/INDEX(고양시_재차인원!$K$4:$O$20,MATCH("경기도",고양시_재차인원!$K$4:$K$20,0),MATCH('A.일산테크노밸리(859991)_수정'!DA$94,고양시_재차인원!$K$4:$O$4,0))</f>
        <v>90.88535778531741</v>
      </c>
      <c r="DB106" s="272">
        <f>INDEX($AA$93:$AN$106,MATCH($CW106,$L$93:$L$106,0),MATCH(DB$94,$AA$94:$AN$94,0))/INDEX(고양시_재차인원!$D$4:$H$35,MATCH("고양시",고양시_재차인원!$B$4:$B$35,0),MATCH('A.일산테크노밸리(859991)_수정'!$DB$93,고양시_재차인원!$D$4:$H$4,0))</f>
        <v>7430.6864180983303</v>
      </c>
      <c r="DC106" s="273">
        <f>INDEX($AA$93:$AN$106,MATCH($CW106,$L$93:$L$106,0),MATCH(DC$94,$AA$94:$AN$94,0))/INDEX(고양시_재차인원!$K$4:$O$20,MATCH("경기도",고양시_재차인원!$K$4:$K$20,0),MATCH('A.일산테크노밸리(859991)_수정'!DC$94,고양시_재차인원!$K$4:$O$4,0))</f>
        <v>0</v>
      </c>
      <c r="DD106" s="273">
        <f>INDEX($AA$93:$AN$106,MATCH($CW106,$L$93:$L$106,0),MATCH(DD$94,$AA$94:$AN$94,0))/INDEX(고양시_재차인원!$K$4:$O$20,MATCH("경기도",고양시_재차인원!$K$4:$K$20,0),MATCH('A.일산테크노밸리(859991)_수정'!DD$94,고양시_재차인원!$K$4:$O$4,0))</f>
        <v>39.489957456000134</v>
      </c>
      <c r="DE106" s="273">
        <f>INDEX($AA$93:$AN$106,MATCH($CW106,$L$93:$L$106,0),MATCH(DE$94,$AA$94:$AN$94,0))/INDEX(고양시_재차인원!$K$4:$O$20,MATCH("경기도",고양시_재차인원!$K$4:$K$20,0),MATCH('A.일산테크노밸리(859991)_수정'!DE$94,고양시_재차인원!$K$4:$O$4,0))</f>
        <v>1006.235889507871</v>
      </c>
      <c r="DF106" s="272">
        <f>INDEX($AO$93:$BB$106,MATCH($CW106,$L$93:$L$106,0),MATCH(DF$94,$AO$94:$BB$94,0))/INDEX(고양시_재차인원!$D$4:$H$35,MATCH("고양시",고양시_재차인원!$B$4:$B$35,0),MATCH('A.일산테크노밸리(859991)_수정'!$DF$93,고양시_재차인원!$D$4:$H$4,0))</f>
        <v>1056.4703356981213</v>
      </c>
      <c r="DG106" s="273">
        <f>INDEX($AO$93:$BB$106,MATCH($CW106,$L$93:$L$106,0),MATCH(DG$94,$AO$94:$BB$94,0))/INDEX(고양시_재차인원!$K$4:$O$20,MATCH("경기도",고양시_재차인원!$K$4:$K$20,0),MATCH('A.일산테크노밸리(859991)_수정'!DG$94,고양시_재차인원!$K$4:$O$4,0))</f>
        <v>4.5569217798233731E-2</v>
      </c>
      <c r="DH106" s="273">
        <f>INDEX($AO$93:$BB$106,MATCH($CW106,$L$93:$L$106,0),MATCH(DH$94,$AO$94:$BB$94,0))/INDEX(고양시_재차인원!$K$4:$O$20,MATCH("경기도",고양시_재차인원!$K$4:$K$20,0),MATCH('A.일산테크노밸리(859991)_수정'!DH$94,고양시_재차인원!$K$4:$O$4,0))</f>
        <v>1.8032390471586779</v>
      </c>
      <c r="DI106" s="273">
        <f>INDEX($AO$93:$BB$106,MATCH($CW106,$L$93:$L$106,0),MATCH(DI$94,$AO$94:$BB$94,0))/INDEX(고양시_재차인원!$K$4:$O$20,MATCH("경기도",고양시_재차인원!$K$4:$K$20,0),MATCH('A.일산테크노밸리(859991)_수정'!DI$94,고양시_재차인원!$K$4:$O$4,0))</f>
        <v>31.861346095699336</v>
      </c>
      <c r="DJ106" s="272">
        <f>INDEX($BC$93:$BP$106,MATCH($CW106,$L$93:$L$106,0),MATCH(DJ$94,$BC$94:$BP$94,0))/INDEX(고양시_재차인원!$D$4:$H$35,MATCH("고양시",고양시_재차인원!$B$4:$B$35,0),MATCH('A.일산테크노밸리(859991)_수정'!$DJ$93,고양시_재차인원!$D$4:$H$4,0))</f>
        <v>1.7933885860626071</v>
      </c>
      <c r="DK106" s="273">
        <f>INDEX($BC$93:$BP$106,MATCH($CW106,$L$93:$L$106,0),MATCH(DK$94,$BC$94:$BP$94,0))/INDEX(고양시_재차인원!$K$4:$O$20,MATCH("경기도",고양시_재차인원!$K$4:$K$20,0),MATCH('A.일산테크노밸리(859991)_수정'!DK$94,고양시_재차인원!$K$4:$O$4,0))</f>
        <v>5.4322954390920147E-3</v>
      </c>
      <c r="DL106" s="273">
        <f>INDEX($BC$93:$BP$106,MATCH($CW106,$L$93:$L$106,0),MATCH(DL$94,$BC$94:$BP$94,0))/INDEX(고양시_재차인원!$K$4:$O$20,MATCH("경기도",고양시_재차인원!$K$4:$K$20,0),MATCH('A.일산테크노밸리(859991)_수정'!DL$94,고양시_재차인원!$K$4:$O$4,0))</f>
        <v>3.6215302927280093E-3</v>
      </c>
      <c r="DM106" s="273">
        <f>INDEX($BC$93:$BP$106,MATCH($CW106,$L$93:$L$106,0),MATCH(DM$94,$BC$94:$BP$94,0))/INDEX(고양시_재차인원!$K$4:$O$20,MATCH("경기도",고양시_재차인원!$K$4:$K$20,0),MATCH('A.일산테크노밸리(859991)_수정'!DM$94,고양시_재차인원!$K$4:$O$4,0))</f>
        <v>1.4922887272505824E-2</v>
      </c>
      <c r="DN106" s="272">
        <f>INDEX($BQ$93:$CD$106,MATCH($CW106,$L$93:$L$106,0),MATCH(DN$94,$BQ$94:$CD$94,0))/INDEX(고양시_재차인원!$D$4:$H$35,MATCH("고양시",고양시_재차인원!$B$4:$B$35,0),MATCH('A.일산테크노밸리(859991)_수정'!$DN$93,고양시_재차인원!$D$4:$H$4,0))</f>
        <v>5.4114686177268227</v>
      </c>
      <c r="DO106" s="273">
        <f>INDEX($BQ$93:$CD$106,MATCH($CW106,$L$93:$L$106,0),MATCH(DO$94,$BQ$94:$CD$94,0))/INDEX(고양시_재차인원!$K$4:$O$20,MATCH("경기도",고양시_재차인원!$K$4:$K$20,0),MATCH('A.일산테크노밸리(859991)_수정'!DO$94,고양시_재차인원!$K$4:$O$4,0))</f>
        <v>2.1604144615062243E-2</v>
      </c>
      <c r="DP106" s="273">
        <f>INDEX($BQ$93:$CD$106,MATCH($CW106,$L$93:$L$106,0),MATCH(DP$94,$BQ$94:$CD$94,0))/INDEX(고양시_재차인원!$K$4:$O$20,MATCH("경기도",고양시_재차인원!$K$4:$K$20,0),MATCH('A.일산테크노밸리(859991)_수정'!DP$94,고양시_재차인원!$K$4:$O$4,0))</f>
        <v>7.2155524143687325E-2</v>
      </c>
      <c r="DQ106" s="273">
        <f>INDEX($BQ$93:$CD$106,MATCH($CW106,$L$93:$L$106,0),MATCH(DQ$94,$BQ$94:$CD$94,0))/INDEX(고양시_재차인원!$K$4:$O$20,MATCH("경기도",고양시_재차인원!$K$4:$K$20,0),MATCH('A.일산테크노밸리(859991)_수정'!DQ$94,고양시_재차인원!$K$4:$O$4,0))</f>
        <v>5.1924666240590256E-3</v>
      </c>
      <c r="DR106" s="274">
        <f t="shared" si="60"/>
        <v>10389.911387775672</v>
      </c>
      <c r="DS106" s="275">
        <f t="shared" si="52"/>
        <v>8.8285315372127429E-2</v>
      </c>
      <c r="DT106" s="275">
        <f t="shared" si="53"/>
        <v>45.727918348082788</v>
      </c>
      <c r="DU106" s="275">
        <f t="shared" si="54"/>
        <v>1129.0027087427843</v>
      </c>
      <c r="EC106" s="412" t="s">
        <v>15</v>
      </c>
      <c r="ED106" s="412" t="s">
        <v>90</v>
      </c>
      <c r="EE106" s="412">
        <v>9730.2787000000008</v>
      </c>
      <c r="EF106" s="412">
        <v>4.519121097940456E-2</v>
      </c>
      <c r="EG106" s="413">
        <v>859013</v>
      </c>
      <c r="EH106" s="414">
        <f t="shared" si="55"/>
        <v>357.33603842875783</v>
      </c>
      <c r="EI106" s="415">
        <f t="shared" si="56"/>
        <v>1.421295495023478</v>
      </c>
      <c r="EJ106" s="402">
        <v>0</v>
      </c>
      <c r="EM106" s="278" t="s">
        <v>15</v>
      </c>
      <c r="EN106" s="278" t="s">
        <v>90</v>
      </c>
      <c r="EO106" s="278">
        <v>9730.2787000000008</v>
      </c>
      <c r="EP106" s="278">
        <v>4.519121097940456E-2</v>
      </c>
      <c r="EQ106" s="289">
        <v>859013</v>
      </c>
      <c r="ER106" s="290">
        <f t="shared" si="37"/>
        <v>357.33603842875783</v>
      </c>
      <c r="ES106" s="291">
        <f t="shared" si="38"/>
        <v>1.421295495023478</v>
      </c>
      <c r="ET106" s="402">
        <v>0</v>
      </c>
      <c r="EV106" s="34"/>
      <c r="EW106" s="34"/>
      <c r="EX106" s="34"/>
      <c r="EY106" s="34"/>
      <c r="EZ106" s="378"/>
      <c r="FA106" s="401"/>
      <c r="FB106" s="402"/>
      <c r="FC106" s="402"/>
    </row>
    <row r="107" spans="1:159" ht="16.5" customHeight="1">
      <c r="J107" s="230"/>
      <c r="EC107" s="412" t="s">
        <v>15</v>
      </c>
      <c r="ED107" s="412" t="s">
        <v>91</v>
      </c>
      <c r="EE107" s="412">
        <v>11598.4503</v>
      </c>
      <c r="EF107" s="412">
        <v>5.386772883919945E-2</v>
      </c>
      <c r="EG107" s="413">
        <v>859014</v>
      </c>
      <c r="EH107" s="414">
        <f t="shared" si="55"/>
        <v>425.94301868402164</v>
      </c>
      <c r="EI107" s="415">
        <f t="shared" si="56"/>
        <v>1.6941781082430567</v>
      </c>
      <c r="EJ107" s="402">
        <v>0</v>
      </c>
      <c r="EM107" s="278" t="s">
        <v>15</v>
      </c>
      <c r="EN107" s="278" t="s">
        <v>91</v>
      </c>
      <c r="EO107" s="278">
        <v>11598.4503</v>
      </c>
      <c r="EP107" s="278">
        <v>5.386772883919945E-2</v>
      </c>
      <c r="EQ107" s="289">
        <v>859014</v>
      </c>
      <c r="ER107" s="290">
        <f t="shared" si="37"/>
        <v>425.94301868402164</v>
      </c>
      <c r="ES107" s="291">
        <f t="shared" si="38"/>
        <v>1.6941781082430567</v>
      </c>
      <c r="ET107" s="402">
        <v>0</v>
      </c>
      <c r="EV107" s="34"/>
      <c r="EW107" s="34"/>
      <c r="EX107" s="34"/>
      <c r="EY107" s="34"/>
      <c r="EZ107" s="378"/>
      <c r="FA107" s="401"/>
      <c r="FB107" s="402"/>
      <c r="FC107" s="402"/>
    </row>
    <row r="108" spans="1:159">
      <c r="EC108" s="412" t="s">
        <v>15</v>
      </c>
      <c r="ED108" s="412" t="s">
        <v>92</v>
      </c>
      <c r="EE108" s="412">
        <v>20670.0766</v>
      </c>
      <c r="EF108" s="412">
        <v>9.5999901070773372E-2</v>
      </c>
      <c r="EG108" s="413">
        <v>859015</v>
      </c>
      <c r="EH108" s="414">
        <f t="shared" si="55"/>
        <v>759.09061949715465</v>
      </c>
      <c r="EI108" s="415">
        <f t="shared" si="56"/>
        <v>3.0192646746459806</v>
      </c>
      <c r="EJ108" s="402">
        <v>0</v>
      </c>
      <c r="EM108" s="278" t="s">
        <v>15</v>
      </c>
      <c r="EN108" s="278" t="s">
        <v>92</v>
      </c>
      <c r="EO108" s="278">
        <v>20670.0766</v>
      </c>
      <c r="EP108" s="278">
        <v>9.5999901070773372E-2</v>
      </c>
      <c r="EQ108" s="289">
        <v>859015</v>
      </c>
      <c r="ER108" s="290">
        <f t="shared" si="37"/>
        <v>759.09061949715465</v>
      </c>
      <c r="ES108" s="291">
        <f t="shared" si="38"/>
        <v>3.0192646746459806</v>
      </c>
      <c r="ET108" s="402">
        <v>0</v>
      </c>
      <c r="EV108" s="34"/>
      <c r="EW108" s="34"/>
      <c r="EX108" s="34"/>
      <c r="EY108" s="34"/>
      <c r="EZ108" s="378"/>
      <c r="FA108" s="401"/>
      <c r="FB108" s="402"/>
      <c r="FC108" s="402"/>
    </row>
    <row r="109" spans="1:159" ht="16.5" customHeight="1">
      <c r="EC109" s="412" t="s">
        <v>15</v>
      </c>
      <c r="ED109" s="412" t="s">
        <v>93</v>
      </c>
      <c r="EE109" s="412">
        <v>6590.8657999999996</v>
      </c>
      <c r="EF109" s="412">
        <v>3.061055249165083E-2</v>
      </c>
      <c r="EG109" s="413">
        <v>859016</v>
      </c>
      <c r="EH109" s="414">
        <f t="shared" si="55"/>
        <v>242.0438249921439</v>
      </c>
      <c r="EI109" s="415">
        <f t="shared" si="56"/>
        <v>0.96272349011383529</v>
      </c>
      <c r="EJ109" s="402">
        <v>0</v>
      </c>
      <c r="EM109" s="278" t="s">
        <v>15</v>
      </c>
      <c r="EN109" s="278" t="s">
        <v>93</v>
      </c>
      <c r="EO109" s="278">
        <v>6590.8657999999996</v>
      </c>
      <c r="EP109" s="278">
        <v>3.061055249165083E-2</v>
      </c>
      <c r="EQ109" s="289">
        <v>859016</v>
      </c>
      <c r="ER109" s="290">
        <f t="shared" si="37"/>
        <v>242.0438249921439</v>
      </c>
      <c r="ES109" s="291">
        <f t="shared" si="38"/>
        <v>0.96272349011383529</v>
      </c>
      <c r="ET109" s="402">
        <v>0</v>
      </c>
      <c r="EV109" s="34"/>
      <c r="EW109" s="34"/>
      <c r="EX109" s="34"/>
      <c r="EY109" s="34"/>
      <c r="EZ109" s="378"/>
      <c r="FA109" s="401"/>
      <c r="FB109" s="402"/>
      <c r="FC109" s="402"/>
    </row>
    <row r="110" spans="1:159">
      <c r="EC110" s="412" t="s">
        <v>15</v>
      </c>
      <c r="ED110" s="412" t="s">
        <v>94</v>
      </c>
      <c r="EE110" s="412">
        <v>3970.3760000000002</v>
      </c>
      <c r="EF110" s="412">
        <v>1.843997536098985E-2</v>
      </c>
      <c r="EG110" s="413">
        <v>859017</v>
      </c>
      <c r="EH110" s="414">
        <f t="shared" si="55"/>
        <v>145.80861192728403</v>
      </c>
      <c r="EI110" s="415">
        <f t="shared" si="56"/>
        <v>0.57995024565425202</v>
      </c>
      <c r="EJ110" s="402">
        <v>0</v>
      </c>
      <c r="EM110" s="278" t="s">
        <v>15</v>
      </c>
      <c r="EN110" s="278" t="s">
        <v>94</v>
      </c>
      <c r="EO110" s="278">
        <v>3970.3760000000002</v>
      </c>
      <c r="EP110" s="278">
        <v>1.843997536098985E-2</v>
      </c>
      <c r="EQ110" s="289">
        <v>859017</v>
      </c>
      <c r="ER110" s="290">
        <f t="shared" si="37"/>
        <v>145.80861192728403</v>
      </c>
      <c r="ES110" s="291">
        <f t="shared" si="38"/>
        <v>0.57995024565425202</v>
      </c>
      <c r="ET110" s="402">
        <v>0</v>
      </c>
      <c r="EV110" s="34"/>
      <c r="EW110" s="34"/>
      <c r="EX110" s="34"/>
      <c r="EY110" s="34"/>
      <c r="EZ110" s="378"/>
      <c r="FA110" s="401"/>
      <c r="FB110" s="402"/>
      <c r="FC110" s="402"/>
    </row>
    <row r="111" spans="1:159" ht="16.5" customHeight="1">
      <c r="EC111" s="412" t="s">
        <v>15</v>
      </c>
      <c r="ED111" s="412" t="s">
        <v>95</v>
      </c>
      <c r="EE111" s="412">
        <v>14487.1335</v>
      </c>
      <c r="EF111" s="412">
        <v>6.7283900766922491E-2</v>
      </c>
      <c r="EG111" s="413">
        <v>859018</v>
      </c>
      <c r="EH111" s="414">
        <f t="shared" si="55"/>
        <v>532.02740154591299</v>
      </c>
      <c r="EI111" s="415">
        <f t="shared" si="56"/>
        <v>2.116126188590437</v>
      </c>
      <c r="EJ111" s="402">
        <v>0</v>
      </c>
      <c r="EM111" s="278" t="s">
        <v>15</v>
      </c>
      <c r="EN111" s="278" t="s">
        <v>95</v>
      </c>
      <c r="EO111" s="278">
        <v>14487.1335</v>
      </c>
      <c r="EP111" s="278">
        <v>6.7283900766922491E-2</v>
      </c>
      <c r="EQ111" s="289">
        <v>859018</v>
      </c>
      <c r="ER111" s="290">
        <f t="shared" si="37"/>
        <v>532.02740154591299</v>
      </c>
      <c r="ES111" s="291">
        <f t="shared" si="38"/>
        <v>2.116126188590437</v>
      </c>
      <c r="ET111" s="402">
        <v>0</v>
      </c>
      <c r="EV111" s="34"/>
      <c r="EW111" s="34"/>
      <c r="EX111" s="34"/>
      <c r="EY111" s="34"/>
      <c r="EZ111" s="378"/>
      <c r="FA111" s="401"/>
      <c r="FB111" s="402"/>
      <c r="FC111" s="402"/>
    </row>
    <row r="112" spans="1:159">
      <c r="AP112" t="s">
        <v>147</v>
      </c>
      <c r="AQ112" t="s">
        <v>148</v>
      </c>
      <c r="AR112" s="32" t="s">
        <v>74</v>
      </c>
      <c r="AS112" t="s">
        <v>563</v>
      </c>
      <c r="EC112" s="412" t="s">
        <v>15</v>
      </c>
      <c r="ED112" s="412" t="s">
        <v>96</v>
      </c>
      <c r="EE112" s="412">
        <v>7440.5132000000003</v>
      </c>
      <c r="EF112" s="412">
        <v>3.4556646544589169E-2</v>
      </c>
      <c r="EG112" s="413">
        <v>859019</v>
      </c>
      <c r="EH112" s="414">
        <f t="shared" si="55"/>
        <v>273.24638818052352</v>
      </c>
      <c r="EI112" s="415">
        <f t="shared" si="56"/>
        <v>1.0868309344338436</v>
      </c>
      <c r="EJ112" s="402">
        <v>0</v>
      </c>
      <c r="EM112" s="278" t="s">
        <v>15</v>
      </c>
      <c r="EN112" s="278" t="s">
        <v>96</v>
      </c>
      <c r="EO112" s="278">
        <v>7440.5132000000003</v>
      </c>
      <c r="EP112" s="278">
        <v>3.4556646544589169E-2</v>
      </c>
      <c r="EQ112" s="289">
        <v>859019</v>
      </c>
      <c r="ER112" s="290">
        <f t="shared" si="37"/>
        <v>273.24638818052352</v>
      </c>
      <c r="ES112" s="291">
        <f t="shared" si="38"/>
        <v>1.0868309344338436</v>
      </c>
      <c r="ET112" s="402">
        <v>0</v>
      </c>
      <c r="EV112" s="34"/>
      <c r="EW112" s="34"/>
      <c r="EX112" s="34"/>
      <c r="EY112" s="34"/>
      <c r="EZ112" s="378"/>
      <c r="FA112" s="401"/>
      <c r="FB112" s="402"/>
      <c r="FC112" s="402"/>
    </row>
    <row r="113" spans="32:159">
      <c r="AP113" t="s">
        <v>12</v>
      </c>
      <c r="AQ113" t="s">
        <v>73</v>
      </c>
      <c r="AR113" s="75">
        <v>11477.778199999999</v>
      </c>
      <c r="AS113" s="277">
        <f>AR113/SUMIF($AP$113:$AP$157,"="&amp;$AP113,$AR$113:$AR$157)</f>
        <v>1</v>
      </c>
      <c r="EC113" s="412" t="s">
        <v>15</v>
      </c>
      <c r="ED113" s="412" t="s">
        <v>97</v>
      </c>
      <c r="EE113" s="412">
        <v>20150.029900000001</v>
      </c>
      <c r="EF113" s="412">
        <v>9.3584601276858623E-2</v>
      </c>
      <c r="EG113" s="413">
        <v>859020</v>
      </c>
      <c r="EH113" s="414">
        <f t="shared" si="55"/>
        <v>739.99235589079478</v>
      </c>
      <c r="EI113" s="415">
        <f t="shared" si="56"/>
        <v>2.9433017906731065</v>
      </c>
      <c r="EJ113" s="402">
        <v>0</v>
      </c>
      <c r="EM113" s="278" t="s">
        <v>15</v>
      </c>
      <c r="EN113" s="278" t="s">
        <v>97</v>
      </c>
      <c r="EO113" s="278">
        <v>20150.029900000001</v>
      </c>
      <c r="EP113" s="278">
        <v>9.3584601276858623E-2</v>
      </c>
      <c r="EQ113" s="289">
        <v>859020</v>
      </c>
      <c r="ER113" s="290">
        <f t="shared" si="37"/>
        <v>739.99235589079478</v>
      </c>
      <c r="ES113" s="291">
        <f t="shared" si="38"/>
        <v>2.9433017906731065</v>
      </c>
      <c r="ET113" s="402">
        <v>0</v>
      </c>
      <c r="EV113" s="34"/>
      <c r="EW113" s="34"/>
      <c r="EX113" s="34"/>
      <c r="EY113" s="34"/>
      <c r="EZ113" s="378"/>
      <c r="FA113" s="401"/>
      <c r="FB113" s="402"/>
      <c r="FC113" s="402"/>
    </row>
    <row r="114" spans="32:159">
      <c r="AP114" t="s">
        <v>13</v>
      </c>
      <c r="AQ114" t="s">
        <v>75</v>
      </c>
      <c r="AR114" s="75">
        <v>907.24059999999997</v>
      </c>
      <c r="AS114" s="277">
        <f t="shared" ref="AS114:AS157" si="63">AR114/SUMIF($AP$113:$AP$157,"="&amp;$AP114,$AR$113:$AR$157)</f>
        <v>0.22444210067316503</v>
      </c>
      <c r="EC114" s="412" t="s">
        <v>15</v>
      </c>
      <c r="ED114" s="412" t="s">
        <v>98</v>
      </c>
      <c r="EE114" s="412">
        <v>8631.4781000000003</v>
      </c>
      <c r="EF114" s="412">
        <v>4.0087952247576428E-2</v>
      </c>
      <c r="EG114" s="413">
        <v>859021</v>
      </c>
      <c r="EH114" s="414">
        <f t="shared" si="55"/>
        <v>316.98354025960037</v>
      </c>
      <c r="EI114" s="415">
        <f t="shared" si="56"/>
        <v>1.2607944044731021</v>
      </c>
      <c r="EJ114" s="402">
        <v>0</v>
      </c>
      <c r="EM114" s="278" t="s">
        <v>15</v>
      </c>
      <c r="EN114" s="278" t="s">
        <v>98</v>
      </c>
      <c r="EO114" s="278">
        <v>8631.4781000000003</v>
      </c>
      <c r="EP114" s="278">
        <v>4.0087952247576428E-2</v>
      </c>
      <c r="EQ114" s="289">
        <v>859021</v>
      </c>
      <c r="ER114" s="290">
        <f t="shared" si="37"/>
        <v>316.98354025960037</v>
      </c>
      <c r="ES114" s="291">
        <f t="shared" si="38"/>
        <v>1.2607944044731021</v>
      </c>
      <c r="ET114" s="402">
        <v>0</v>
      </c>
      <c r="EV114" s="34"/>
      <c r="EW114" s="34"/>
      <c r="EX114" s="34"/>
      <c r="EY114" s="34"/>
      <c r="EZ114" s="378"/>
      <c r="FA114" s="401"/>
      <c r="FB114" s="402"/>
      <c r="FC114" s="402"/>
    </row>
    <row r="115" spans="32:159" ht="17.25" customHeight="1">
      <c r="AP115" t="s">
        <v>13</v>
      </c>
      <c r="AQ115" t="s">
        <v>77</v>
      </c>
      <c r="AR115" s="75">
        <v>3134.9627</v>
      </c>
      <c r="AS115" s="277">
        <f t="shared" si="63"/>
        <v>0.77555789932683494</v>
      </c>
      <c r="EC115" s="412" t="s">
        <v>15</v>
      </c>
      <c r="ED115" s="412" t="s">
        <v>99</v>
      </c>
      <c r="EE115" s="412">
        <v>11977.777099999999</v>
      </c>
      <c r="EF115" s="412">
        <v>5.56294705094501E-2</v>
      </c>
      <c r="EG115" s="413">
        <v>859022</v>
      </c>
      <c r="EH115" s="414">
        <f t="shared" si="55"/>
        <v>439.87346612144773</v>
      </c>
      <c r="EI115" s="415">
        <f t="shared" si="56"/>
        <v>1.7495861277463078</v>
      </c>
      <c r="EJ115" s="402">
        <v>0</v>
      </c>
      <c r="EM115" s="278" t="s">
        <v>15</v>
      </c>
      <c r="EN115" s="278" t="s">
        <v>99</v>
      </c>
      <c r="EO115" s="278">
        <v>11977.777099999999</v>
      </c>
      <c r="EP115" s="278">
        <v>5.56294705094501E-2</v>
      </c>
      <c r="EQ115" s="289">
        <v>859022</v>
      </c>
      <c r="ER115" s="290">
        <f t="shared" si="37"/>
        <v>439.87346612144773</v>
      </c>
      <c r="ES115" s="291">
        <f t="shared" si="38"/>
        <v>1.7495861277463078</v>
      </c>
      <c r="ET115" s="402">
        <v>0</v>
      </c>
      <c r="EV115" s="34"/>
      <c r="EW115" s="34"/>
      <c r="EX115" s="34"/>
      <c r="EY115" s="34"/>
      <c r="EZ115" s="378"/>
      <c r="FA115" s="401"/>
      <c r="FB115" s="402"/>
      <c r="FC115" s="402"/>
    </row>
    <row r="116" spans="32:159" ht="17.5" thickBot="1">
      <c r="AF116" s="8">
        <v>6288</v>
      </c>
      <c r="AG116" s="8">
        <v>5368</v>
      </c>
      <c r="AH116" s="8">
        <v>6892</v>
      </c>
      <c r="AI116" s="8">
        <v>1592</v>
      </c>
      <c r="AJ116" s="8">
        <v>1224</v>
      </c>
      <c r="AK116" s="8">
        <v>4076</v>
      </c>
      <c r="AL116" s="8">
        <v>2182</v>
      </c>
      <c r="AM116" s="9">
        <v>688</v>
      </c>
      <c r="AN116" s="17">
        <v>82104</v>
      </c>
      <c r="AP116" t="s">
        <v>137</v>
      </c>
      <c r="AQ116" t="s">
        <v>78</v>
      </c>
      <c r="AR116" s="75">
        <v>5454.9395000000004</v>
      </c>
      <c r="AS116" s="277">
        <f t="shared" si="63"/>
        <v>0.43129277327301779</v>
      </c>
      <c r="EC116" s="412" t="s">
        <v>15</v>
      </c>
      <c r="ED116" s="412" t="s">
        <v>100</v>
      </c>
      <c r="EE116" s="412">
        <v>5754.1068999999998</v>
      </c>
      <c r="EF116" s="412">
        <v>2.672431766172818E-2</v>
      </c>
      <c r="EG116" s="413">
        <v>859023</v>
      </c>
      <c r="EH116" s="414">
        <f t="shared" si="55"/>
        <v>211.31458077779214</v>
      </c>
      <c r="EI116" s="415">
        <f t="shared" si="56"/>
        <v>0.84049866062454204</v>
      </c>
      <c r="EJ116" s="402">
        <v>0</v>
      </c>
      <c r="EM116" s="278" t="s">
        <v>15</v>
      </c>
      <c r="EN116" s="278" t="s">
        <v>100</v>
      </c>
      <c r="EO116" s="278">
        <v>5754.1068999999998</v>
      </c>
      <c r="EP116" s="278">
        <v>2.672431766172818E-2</v>
      </c>
      <c r="EQ116" s="289">
        <v>859023</v>
      </c>
      <c r="ER116" s="290">
        <f t="shared" si="37"/>
        <v>211.31458077779214</v>
      </c>
      <c r="ES116" s="291">
        <f t="shared" si="38"/>
        <v>0.84049866062454204</v>
      </c>
      <c r="ET116" s="402">
        <v>0</v>
      </c>
      <c r="EV116" s="34"/>
      <c r="EW116" s="34"/>
      <c r="EX116" s="34"/>
      <c r="EY116" s="34"/>
      <c r="EZ116" s="378"/>
      <c r="FA116" s="401"/>
      <c r="FB116" s="402"/>
      <c r="FC116" s="402"/>
    </row>
    <row r="117" spans="32:159" ht="18" customHeight="1" thickTop="1" thickBot="1">
      <c r="AF117" s="8">
        <v>1156</v>
      </c>
      <c r="AG117" s="8">
        <v>1380</v>
      </c>
      <c r="AH117" s="8">
        <v>18740</v>
      </c>
      <c r="AI117" s="8">
        <v>8902</v>
      </c>
      <c r="AJ117" s="8">
        <v>7994</v>
      </c>
      <c r="AK117" s="8">
        <v>1844</v>
      </c>
      <c r="AL117" s="8">
        <v>5728</v>
      </c>
      <c r="AM117" s="8">
        <v>4500</v>
      </c>
      <c r="AN117" s="17">
        <v>71140</v>
      </c>
      <c r="AP117" t="s">
        <v>14</v>
      </c>
      <c r="AQ117" t="s">
        <v>80</v>
      </c>
      <c r="AR117" s="75">
        <v>7192.9411</v>
      </c>
      <c r="AS117" s="277">
        <f t="shared" si="63"/>
        <v>0.56870722672698226</v>
      </c>
      <c r="EC117" s="412" t="s">
        <v>15</v>
      </c>
      <c r="ED117" s="412" t="s">
        <v>101</v>
      </c>
      <c r="EE117" s="412">
        <v>6005.2467999999999</v>
      </c>
      <c r="EF117" s="412">
        <v>2.7890709350616452E-2</v>
      </c>
      <c r="EG117" s="413">
        <v>859024</v>
      </c>
      <c r="EH117" s="414">
        <f t="shared" si="55"/>
        <v>220.53747559142113</v>
      </c>
      <c r="EI117" s="415">
        <f t="shared" si="56"/>
        <v>0.87718250283459587</v>
      </c>
      <c r="EJ117" s="402">
        <v>0</v>
      </c>
      <c r="EM117" s="278" t="s">
        <v>15</v>
      </c>
      <c r="EN117" s="278" t="s">
        <v>101</v>
      </c>
      <c r="EO117" s="278">
        <v>6005.2467999999999</v>
      </c>
      <c r="EP117" s="278">
        <v>2.7890709350616452E-2</v>
      </c>
      <c r="EQ117" s="289">
        <v>859024</v>
      </c>
      <c r="ER117" s="290">
        <f t="shared" si="37"/>
        <v>220.53747559142113</v>
      </c>
      <c r="ES117" s="291">
        <f t="shared" si="38"/>
        <v>0.87718250283459587</v>
      </c>
      <c r="ET117" s="402">
        <v>0</v>
      </c>
      <c r="EV117" s="34"/>
      <c r="EW117" s="34"/>
      <c r="EX117" s="34"/>
      <c r="EY117" s="34"/>
      <c r="EZ117" s="378"/>
      <c r="FA117" s="401"/>
      <c r="FB117" s="402"/>
      <c r="FC117" s="402"/>
    </row>
    <row r="118" spans="32:159" ht="18" thickTop="1" thickBot="1">
      <c r="AF118" s="8">
        <v>7444</v>
      </c>
      <c r="AG118" s="8">
        <v>6748</v>
      </c>
      <c r="AH118" s="8">
        <v>25632</v>
      </c>
      <c r="AI118" s="8">
        <v>10494</v>
      </c>
      <c r="AJ118" s="8">
        <v>9218</v>
      </c>
      <c r="AK118" s="8">
        <v>5920</v>
      </c>
      <c r="AL118" s="8">
        <v>7910</v>
      </c>
      <c r="AM118" s="8">
        <v>5188</v>
      </c>
      <c r="AN118" s="17">
        <v>153244</v>
      </c>
      <c r="AP118" t="s">
        <v>139</v>
      </c>
      <c r="AQ118" t="s">
        <v>85</v>
      </c>
      <c r="AR118" s="75">
        <v>24085.599100000003</v>
      </c>
      <c r="AS118" s="277">
        <f t="shared" si="63"/>
        <v>0.11186292027724311</v>
      </c>
      <c r="EC118" s="412" t="s">
        <v>16</v>
      </c>
      <c r="ED118" s="412" t="s">
        <v>575</v>
      </c>
      <c r="EE118" s="412">
        <v>10596.0813</v>
      </c>
      <c r="EF118" s="412">
        <v>0.3566329663552395</v>
      </c>
      <c r="EG118" s="413">
        <v>859025</v>
      </c>
      <c r="EH118" s="414">
        <f t="shared" si="55"/>
        <v>305.64975180713236</v>
      </c>
      <c r="EI118" s="415">
        <f t="shared" si="56"/>
        <v>1.2157145336045687</v>
      </c>
      <c r="EJ118" s="402">
        <v>0</v>
      </c>
      <c r="EM118" s="278" t="s">
        <v>16</v>
      </c>
      <c r="EN118" s="278" t="s">
        <v>575</v>
      </c>
      <c r="EO118" s="278">
        <v>10596.0813</v>
      </c>
      <c r="EP118" s="278">
        <v>0.3566329663552395</v>
      </c>
      <c r="EQ118" s="289">
        <v>859025</v>
      </c>
      <c r="ER118" s="290">
        <f t="shared" si="37"/>
        <v>305.64975180713236</v>
      </c>
      <c r="ES118" s="291">
        <f t="shared" si="38"/>
        <v>1.2157145336045687</v>
      </c>
      <c r="ET118" s="402">
        <v>0</v>
      </c>
      <c r="EV118" s="34"/>
      <c r="EW118" s="34"/>
      <c r="EX118" s="34"/>
      <c r="EY118" s="34"/>
      <c r="EZ118" s="378"/>
      <c r="FA118" s="401"/>
      <c r="FB118" s="402"/>
      <c r="FC118" s="402"/>
    </row>
    <row r="119" spans="32:159" ht="18" thickTop="1" thickBot="1">
      <c r="AF119" s="8">
        <v>6184</v>
      </c>
      <c r="AG119" s="8">
        <v>5280</v>
      </c>
      <c r="AH119" s="8">
        <v>6780</v>
      </c>
      <c r="AI119" s="8">
        <v>1566</v>
      </c>
      <c r="AJ119" s="8">
        <v>1204</v>
      </c>
      <c r="AK119" s="8">
        <v>4010</v>
      </c>
      <c r="AL119" s="8">
        <v>2146</v>
      </c>
      <c r="AM119" s="9">
        <v>676</v>
      </c>
      <c r="AN119" s="17">
        <v>80762</v>
      </c>
      <c r="AP119" t="s">
        <v>15</v>
      </c>
      <c r="AQ119" t="s">
        <v>81</v>
      </c>
      <c r="AR119" s="75">
        <v>10713.892900000001</v>
      </c>
      <c r="AS119" s="277">
        <f t="shared" si="63"/>
        <v>4.9759499124587728E-2</v>
      </c>
      <c r="EC119" s="412" t="s">
        <v>16</v>
      </c>
      <c r="ED119" s="412" t="s">
        <v>576</v>
      </c>
      <c r="EE119" s="412">
        <v>10127.7948</v>
      </c>
      <c r="EF119" s="412">
        <v>0.34087181854306553</v>
      </c>
      <c r="EG119" s="413">
        <v>859026</v>
      </c>
      <c r="EH119" s="414">
        <f t="shared" si="55"/>
        <v>292.14177197503818</v>
      </c>
      <c r="EI119" s="415">
        <f t="shared" si="56"/>
        <v>1.1619868688365742</v>
      </c>
      <c r="EJ119" s="402">
        <v>0</v>
      </c>
      <c r="EM119" s="278" t="s">
        <v>16</v>
      </c>
      <c r="EN119" s="278" t="s">
        <v>576</v>
      </c>
      <c r="EO119" s="278">
        <v>10127.7948</v>
      </c>
      <c r="EP119" s="278">
        <v>0.34087181854306553</v>
      </c>
      <c r="EQ119" s="289">
        <v>859026</v>
      </c>
      <c r="ER119" s="290">
        <f t="shared" si="37"/>
        <v>292.14177197503818</v>
      </c>
      <c r="ES119" s="291">
        <f t="shared" si="38"/>
        <v>1.1619868688365742</v>
      </c>
      <c r="ET119" s="402">
        <v>0</v>
      </c>
      <c r="EV119" s="34"/>
      <c r="EW119" s="34"/>
      <c r="EX119" s="34"/>
      <c r="EY119" s="34"/>
      <c r="EZ119" s="378"/>
      <c r="FA119" s="401"/>
      <c r="FB119" s="402"/>
      <c r="FC119" s="402"/>
    </row>
    <row r="120" spans="32:159" ht="18" thickTop="1" thickBot="1">
      <c r="AF120" s="8">
        <v>1156</v>
      </c>
      <c r="AG120" s="8">
        <v>1380</v>
      </c>
      <c r="AH120" s="8">
        <v>18732</v>
      </c>
      <c r="AI120" s="8">
        <v>8898</v>
      </c>
      <c r="AJ120" s="8">
        <v>7990</v>
      </c>
      <c r="AK120" s="8">
        <v>1844</v>
      </c>
      <c r="AL120" s="8">
        <v>5726</v>
      </c>
      <c r="AM120" s="8">
        <v>4498</v>
      </c>
      <c r="AN120" s="17">
        <v>71114</v>
      </c>
      <c r="AP120" t="s">
        <v>15</v>
      </c>
      <c r="AQ120" t="s">
        <v>82</v>
      </c>
      <c r="AR120" s="75">
        <v>10028.5581</v>
      </c>
      <c r="AS120" s="277">
        <f t="shared" si="63"/>
        <v>4.6576536899844041E-2</v>
      </c>
      <c r="EC120" s="412" t="s">
        <v>16</v>
      </c>
      <c r="ED120" s="412" t="s">
        <v>382</v>
      </c>
      <c r="EE120" s="412">
        <v>8987.5704000000005</v>
      </c>
      <c r="EF120" s="412">
        <v>0.30249521510169491</v>
      </c>
      <c r="EG120" s="413">
        <v>859027</v>
      </c>
      <c r="EH120" s="414">
        <f t="shared" si="55"/>
        <v>259.25137646019476</v>
      </c>
      <c r="EI120" s="415">
        <f t="shared" si="56"/>
        <v>1.0311661120488222</v>
      </c>
      <c r="EJ120" s="402">
        <v>0</v>
      </c>
      <c r="EM120" s="278" t="s">
        <v>16</v>
      </c>
      <c r="EN120" s="278" t="s">
        <v>382</v>
      </c>
      <c r="EO120" s="278">
        <v>8987.5704000000005</v>
      </c>
      <c r="EP120" s="278">
        <v>0.30249521510169491</v>
      </c>
      <c r="EQ120" s="289">
        <v>859027</v>
      </c>
      <c r="ER120" s="290">
        <f t="shared" si="37"/>
        <v>259.25137646019476</v>
      </c>
      <c r="ES120" s="291">
        <f t="shared" si="38"/>
        <v>1.0311661120488222</v>
      </c>
      <c r="ET120" s="402">
        <v>0</v>
      </c>
      <c r="EV120" s="34"/>
      <c r="EW120" s="34"/>
      <c r="EX120" s="34"/>
      <c r="EY120" s="34"/>
      <c r="EZ120" s="378"/>
      <c r="FA120" s="401"/>
      <c r="FB120" s="402"/>
      <c r="FC120" s="402"/>
    </row>
    <row r="121" spans="32:159" ht="18" thickTop="1" thickBot="1">
      <c r="AF121" s="11">
        <v>7340</v>
      </c>
      <c r="AG121" s="11">
        <v>6660</v>
      </c>
      <c r="AH121" s="11">
        <v>25512</v>
      </c>
      <c r="AI121" s="11">
        <v>10464</v>
      </c>
      <c r="AJ121" s="11">
        <v>9194</v>
      </c>
      <c r="AK121" s="11">
        <v>5854</v>
      </c>
      <c r="AL121" s="11">
        <v>7872</v>
      </c>
      <c r="AM121" s="11">
        <v>5174</v>
      </c>
      <c r="AN121" s="18">
        <v>151876</v>
      </c>
      <c r="AP121" t="s">
        <v>15</v>
      </c>
      <c r="AQ121" t="s">
        <v>88</v>
      </c>
      <c r="AR121" s="75">
        <v>21685.084499999997</v>
      </c>
      <c r="AS121" s="277">
        <f t="shared" si="63"/>
        <v>0.10071399380839066</v>
      </c>
      <c r="EC121" s="412" t="s">
        <v>17</v>
      </c>
      <c r="ED121" s="412" t="s">
        <v>577</v>
      </c>
      <c r="EE121" s="412">
        <v>2607.4872</v>
      </c>
      <c r="EF121" s="412">
        <v>3.7361234000204045E-2</v>
      </c>
      <c r="EG121" s="413">
        <v>859028</v>
      </c>
      <c r="EH121" s="414">
        <f t="shared" si="55"/>
        <v>27.335293907044651</v>
      </c>
      <c r="EI121" s="415">
        <f t="shared" si="56"/>
        <v>0.10872547380348017</v>
      </c>
      <c r="EJ121" s="402">
        <f t="shared" ref="EJ121" si="64">VLOOKUP($ED121,$AC$190:$AG$196,5,FALSE)</f>
        <v>62.924956486962508</v>
      </c>
      <c r="EM121" s="278" t="s">
        <v>17</v>
      </c>
      <c r="EN121" s="278" t="s">
        <v>577</v>
      </c>
      <c r="EO121" s="278">
        <v>2607.4872</v>
      </c>
      <c r="EP121" s="278">
        <v>3.7361234000204045E-2</v>
      </c>
      <c r="EQ121" s="289">
        <v>859028</v>
      </c>
      <c r="ER121" s="290">
        <f t="shared" si="37"/>
        <v>27.335293907044651</v>
      </c>
      <c r="ES121" s="291">
        <f t="shared" si="38"/>
        <v>0.10872547380348017</v>
      </c>
      <c r="ET121" s="402">
        <f t="shared" ref="ET121" si="65">VLOOKUP($ED121,$AC$180:$AG$186,5,FALSE)</f>
        <v>62.917589156216088</v>
      </c>
      <c r="EV121" s="34"/>
      <c r="EW121" s="34"/>
      <c r="EX121" s="34"/>
      <c r="EY121" s="34"/>
      <c r="EZ121" s="378"/>
      <c r="FA121" s="401"/>
      <c r="FB121" s="402"/>
      <c r="FC121" s="402"/>
    </row>
    <row r="122" spans="32:159" ht="17.5" thickTop="1">
      <c r="AP122" t="s">
        <v>15</v>
      </c>
      <c r="AQ122" t="s">
        <v>83</v>
      </c>
      <c r="AR122" s="75">
        <v>10018.5584</v>
      </c>
      <c r="AS122" s="277">
        <f t="shared" si="63"/>
        <v>4.6530094391220855E-2</v>
      </c>
      <c r="EC122" s="412" t="s">
        <v>17</v>
      </c>
      <c r="ED122" s="412" t="s">
        <v>103</v>
      </c>
      <c r="EE122" s="412">
        <v>15824.4439</v>
      </c>
      <c r="EF122" s="412">
        <v>0.22673965627559034</v>
      </c>
      <c r="EG122" s="413">
        <v>859029</v>
      </c>
      <c r="EH122" s="414">
        <f t="shared" si="55"/>
        <v>165.89374817335246</v>
      </c>
      <c r="EI122" s="415">
        <f t="shared" si="56"/>
        <v>0.65983839180652226</v>
      </c>
      <c r="EJ122" s="402">
        <f>VLOOKUP($ED122,$AC$190:$AG$196,5,FALSE)</f>
        <v>381.88200649187428</v>
      </c>
      <c r="EM122" s="278" t="s">
        <v>17</v>
      </c>
      <c r="EN122" s="278" t="s">
        <v>103</v>
      </c>
      <c r="EO122" s="278">
        <v>15824.4439</v>
      </c>
      <c r="EP122" s="278">
        <v>0.22673965627559034</v>
      </c>
      <c r="EQ122" s="289">
        <v>859029</v>
      </c>
      <c r="ER122" s="290">
        <f t="shared" si="37"/>
        <v>165.89374817335246</v>
      </c>
      <c r="ES122" s="291">
        <f t="shared" si="38"/>
        <v>0.65983839180652226</v>
      </c>
      <c r="ET122" s="402">
        <f>VLOOKUP($ED122,$AC$180:$AG$186,5,FALSE)</f>
        <v>381.83729528021843</v>
      </c>
      <c r="EV122" s="34"/>
      <c r="EW122" s="34"/>
      <c r="EX122" s="34"/>
      <c r="EY122" s="34"/>
      <c r="EZ122" s="378"/>
      <c r="FA122" s="401"/>
      <c r="FB122" s="402"/>
      <c r="FC122" s="402"/>
    </row>
    <row r="123" spans="32:159">
      <c r="AP123" t="s">
        <v>15</v>
      </c>
      <c r="AQ123" t="s">
        <v>84</v>
      </c>
      <c r="AR123" s="75">
        <v>5030.8546999999999</v>
      </c>
      <c r="AS123" s="277">
        <f t="shared" si="63"/>
        <v>2.3365252236241602E-2</v>
      </c>
      <c r="EC123" s="412" t="s">
        <v>17</v>
      </c>
      <c r="ED123" s="412" t="s">
        <v>104</v>
      </c>
      <c r="EE123" s="412">
        <v>11511.7454</v>
      </c>
      <c r="EF123" s="412">
        <v>0.16494539786817458</v>
      </c>
      <c r="EG123" s="413">
        <v>859030</v>
      </c>
      <c r="EH123" s="414">
        <f t="shared" si="55"/>
        <v>120.68206658581846</v>
      </c>
      <c r="EI123" s="415">
        <f t="shared" si="56"/>
        <v>0.48001001612588295</v>
      </c>
      <c r="EJ123" s="402">
        <f t="shared" ref="EJ123:EJ126" si="66">VLOOKUP($ED123,$AC$190:$AG$196,5,FALSE)</f>
        <v>277.80618765223113</v>
      </c>
      <c r="EM123" s="278" t="s">
        <v>17</v>
      </c>
      <c r="EN123" s="278" t="s">
        <v>104</v>
      </c>
      <c r="EO123" s="278">
        <v>11511.7454</v>
      </c>
      <c r="EP123" s="278">
        <v>0.16494539786817458</v>
      </c>
      <c r="EQ123" s="289">
        <v>859030</v>
      </c>
      <c r="ER123" s="290">
        <f t="shared" si="37"/>
        <v>120.68206658581846</v>
      </c>
      <c r="ES123" s="291">
        <f t="shared" si="38"/>
        <v>0.48001001612588295</v>
      </c>
      <c r="ET123" s="402">
        <f t="shared" ref="ET123:ET126" si="67">VLOOKUP($ED123,$AC$180:$AG$186,5,FALSE)</f>
        <v>277.77366176453734</v>
      </c>
      <c r="EV123" s="34"/>
      <c r="EW123" s="34"/>
      <c r="EX123" s="34"/>
      <c r="EY123" s="34"/>
      <c r="EZ123" s="378"/>
      <c r="FA123" s="401"/>
      <c r="FB123" s="402"/>
      <c r="FC123" s="402"/>
    </row>
    <row r="124" spans="32:159">
      <c r="AP124" t="s">
        <v>15</v>
      </c>
      <c r="AQ124" t="s">
        <v>89</v>
      </c>
      <c r="AR124" s="75">
        <v>6744.6391999999996</v>
      </c>
      <c r="AS124" s="277">
        <f t="shared" si="63"/>
        <v>3.132473616271262E-2</v>
      </c>
      <c r="EC124" s="412" t="s">
        <v>17</v>
      </c>
      <c r="ED124" s="412" t="s">
        <v>117</v>
      </c>
      <c r="EE124" s="412">
        <v>4659.9287999999997</v>
      </c>
      <c r="EF124" s="412">
        <v>6.6769528272694875E-2</v>
      </c>
      <c r="EG124" s="413">
        <v>859031</v>
      </c>
      <c r="EH124" s="414">
        <f t="shared" si="55"/>
        <v>48.851830733397989</v>
      </c>
      <c r="EI124" s="415">
        <f t="shared" si="56"/>
        <v>0.19430698132304644</v>
      </c>
      <c r="EJ124" s="402">
        <f t="shared" si="66"/>
        <v>112.45532364352289</v>
      </c>
      <c r="EM124" s="278" t="s">
        <v>17</v>
      </c>
      <c r="EN124" s="278" t="s">
        <v>117</v>
      </c>
      <c r="EO124" s="278">
        <v>4659.9287999999997</v>
      </c>
      <c r="EP124" s="278">
        <v>6.6769528272694875E-2</v>
      </c>
      <c r="EQ124" s="289">
        <v>859031</v>
      </c>
      <c r="ER124" s="290">
        <f t="shared" si="37"/>
        <v>48.851830733397989</v>
      </c>
      <c r="ES124" s="291">
        <f t="shared" si="38"/>
        <v>0.19430698132304644</v>
      </c>
      <c r="ET124" s="402">
        <f t="shared" si="67"/>
        <v>112.44215723690573</v>
      </c>
      <c r="EV124" s="34"/>
      <c r="EW124" s="34"/>
      <c r="EX124" s="34"/>
      <c r="EY124" s="34"/>
      <c r="EZ124" s="378"/>
      <c r="FA124" s="401"/>
      <c r="FB124" s="402"/>
      <c r="FC124" s="402"/>
    </row>
    <row r="125" spans="32:159">
      <c r="AP125" t="s">
        <v>15</v>
      </c>
      <c r="AQ125" t="s">
        <v>90</v>
      </c>
      <c r="AR125" s="75">
        <v>9730.2787000000008</v>
      </c>
      <c r="AS125" s="277">
        <f t="shared" si="63"/>
        <v>4.519121097940456E-2</v>
      </c>
      <c r="EC125" s="412" t="s">
        <v>17</v>
      </c>
      <c r="ED125" s="412" t="s">
        <v>118</v>
      </c>
      <c r="EE125" s="412">
        <v>23055.857</v>
      </c>
      <c r="EF125" s="412">
        <v>0.33035455301649896</v>
      </c>
      <c r="EG125" s="413">
        <v>859032</v>
      </c>
      <c r="EH125" s="414">
        <f t="shared" si="55"/>
        <v>241.70344052841097</v>
      </c>
      <c r="EI125" s="415">
        <f t="shared" si="56"/>
        <v>0.96136961909929419</v>
      </c>
      <c r="EJ125" s="402">
        <f t="shared" si="66"/>
        <v>556.39344979128941</v>
      </c>
      <c r="EM125" s="278" t="s">
        <v>17</v>
      </c>
      <c r="EN125" s="278" t="s">
        <v>118</v>
      </c>
      <c r="EO125" s="278">
        <v>23055.857</v>
      </c>
      <c r="EP125" s="278">
        <v>0.33035455301649896</v>
      </c>
      <c r="EQ125" s="289">
        <v>859032</v>
      </c>
      <c r="ER125" s="290">
        <f t="shared" si="37"/>
        <v>241.70344052841097</v>
      </c>
      <c r="ES125" s="291">
        <f t="shared" si="38"/>
        <v>0.96136961909929419</v>
      </c>
      <c r="ET125" s="402">
        <f t="shared" si="67"/>
        <v>556.32830656674707</v>
      </c>
      <c r="EV125" s="34"/>
      <c r="EW125" s="34"/>
      <c r="EX125" s="34"/>
      <c r="EY125" s="34"/>
      <c r="EZ125" s="378"/>
      <c r="FA125" s="401"/>
      <c r="FB125" s="402"/>
      <c r="FC125" s="402"/>
    </row>
    <row r="126" spans="32:159">
      <c r="AP126" t="s">
        <v>15</v>
      </c>
      <c r="AQ126" t="s">
        <v>91</v>
      </c>
      <c r="AR126" s="75">
        <v>11598.4503</v>
      </c>
      <c r="AS126" s="277">
        <f t="shared" si="63"/>
        <v>5.386772883919945E-2</v>
      </c>
      <c r="EC126" s="412" t="s">
        <v>17</v>
      </c>
      <c r="ED126" s="412" t="s">
        <v>119</v>
      </c>
      <c r="EE126" s="412">
        <v>12131.7871</v>
      </c>
      <c r="EF126" s="412">
        <v>0.17382963056683723</v>
      </c>
      <c r="EG126" s="413">
        <v>859033</v>
      </c>
      <c r="EH126" s="414">
        <f t="shared" si="55"/>
        <v>127.18220284885498</v>
      </c>
      <c r="EI126" s="415">
        <f t="shared" si="56"/>
        <v>0.50586415171297816</v>
      </c>
      <c r="EJ126" s="402">
        <f t="shared" si="66"/>
        <v>292.7692896734423</v>
      </c>
      <c r="EM126" s="278" t="s">
        <v>17</v>
      </c>
      <c r="EN126" s="278" t="s">
        <v>119</v>
      </c>
      <c r="EO126" s="278">
        <v>12131.7871</v>
      </c>
      <c r="EP126" s="278">
        <v>0.17382963056683723</v>
      </c>
      <c r="EQ126" s="289">
        <v>859033</v>
      </c>
      <c r="ER126" s="290">
        <f t="shared" si="37"/>
        <v>127.18220284885498</v>
      </c>
      <c r="ES126" s="291">
        <f t="shared" si="38"/>
        <v>0.50586415171297816</v>
      </c>
      <c r="ET126" s="402">
        <f t="shared" si="67"/>
        <v>292.73501188749168</v>
      </c>
      <c r="EV126" s="34"/>
      <c r="EW126" s="34"/>
      <c r="EX126" s="34"/>
      <c r="EY126" s="34"/>
      <c r="EZ126" s="378"/>
      <c r="FA126" s="401"/>
      <c r="FB126" s="402"/>
      <c r="FC126" s="402"/>
    </row>
    <row r="127" spans="32:159">
      <c r="AP127" t="s">
        <v>15</v>
      </c>
      <c r="AQ127" t="s">
        <v>92</v>
      </c>
      <c r="AR127" s="75">
        <v>20670.0766</v>
      </c>
      <c r="AS127" s="277">
        <f t="shared" si="63"/>
        <v>9.5999901070773372E-2</v>
      </c>
      <c r="EC127" s="412" t="s">
        <v>578</v>
      </c>
      <c r="ED127" s="412" t="s">
        <v>579</v>
      </c>
      <c r="EE127" s="412">
        <v>17191.4817</v>
      </c>
      <c r="EF127" s="412">
        <v>0.33368246308233862</v>
      </c>
      <c r="EG127" s="413">
        <v>859034</v>
      </c>
      <c r="EH127" s="414">
        <f t="shared" si="55"/>
        <v>313.4502928373654</v>
      </c>
      <c r="EI127" s="415">
        <f t="shared" si="56"/>
        <v>1.2467409978642778</v>
      </c>
      <c r="EJ127" s="402">
        <v>0</v>
      </c>
      <c r="EM127" s="278" t="s">
        <v>578</v>
      </c>
      <c r="EN127" s="278" t="s">
        <v>579</v>
      </c>
      <c r="EO127" s="278">
        <v>17191.4817</v>
      </c>
      <c r="EP127" s="278">
        <v>0.33368246308233862</v>
      </c>
      <c r="EQ127" s="289">
        <v>859034</v>
      </c>
      <c r="ER127" s="290">
        <f t="shared" si="37"/>
        <v>313.4502928373654</v>
      </c>
      <c r="ES127" s="291">
        <f t="shared" si="38"/>
        <v>1.2467409978642778</v>
      </c>
      <c r="ET127" s="402">
        <v>0</v>
      </c>
      <c r="EV127" s="34"/>
      <c r="EW127" s="34"/>
      <c r="EX127" s="34"/>
      <c r="EY127" s="34"/>
      <c r="EZ127" s="378"/>
      <c r="FA127" s="401"/>
      <c r="FB127" s="402"/>
      <c r="FC127" s="402"/>
    </row>
    <row r="128" spans="32:159">
      <c r="AP128" t="s">
        <v>15</v>
      </c>
      <c r="AQ128" t="s">
        <v>93</v>
      </c>
      <c r="AR128" s="75">
        <v>6590.8657999999996</v>
      </c>
      <c r="AS128" s="277">
        <f t="shared" si="63"/>
        <v>3.061055249165083E-2</v>
      </c>
      <c r="EC128" s="412" t="s">
        <v>578</v>
      </c>
      <c r="ED128" s="412" t="s">
        <v>580</v>
      </c>
      <c r="EE128" s="412">
        <v>22736.497299999999</v>
      </c>
      <c r="EF128" s="412">
        <v>0.44130986225166047</v>
      </c>
      <c r="EG128" s="413">
        <v>859035</v>
      </c>
      <c r="EH128" s="414">
        <f t="shared" si="55"/>
        <v>414.55191944164812</v>
      </c>
      <c r="EI128" s="415">
        <f t="shared" si="56"/>
        <v>1.648870285086623</v>
      </c>
      <c r="EJ128" s="402">
        <v>0</v>
      </c>
      <c r="EM128" s="278" t="s">
        <v>578</v>
      </c>
      <c r="EN128" s="278" t="s">
        <v>580</v>
      </c>
      <c r="EO128" s="278">
        <v>22736.497299999999</v>
      </c>
      <c r="EP128" s="278">
        <v>0.44130986225166047</v>
      </c>
      <c r="EQ128" s="289">
        <v>859035</v>
      </c>
      <c r="ER128" s="290">
        <f t="shared" si="37"/>
        <v>414.55191944164812</v>
      </c>
      <c r="ES128" s="291">
        <f t="shared" si="38"/>
        <v>1.648870285086623</v>
      </c>
      <c r="ET128" s="402">
        <v>0</v>
      </c>
      <c r="EV128" s="34"/>
      <c r="EW128" s="34"/>
      <c r="EX128" s="34"/>
      <c r="EY128" s="34"/>
      <c r="EZ128" s="378"/>
      <c r="FA128" s="401"/>
      <c r="FB128" s="402"/>
      <c r="FC128" s="402"/>
    </row>
    <row r="129" spans="42:159">
      <c r="AP129" t="s">
        <v>15</v>
      </c>
      <c r="AQ129" t="s">
        <v>94</v>
      </c>
      <c r="AR129" s="75">
        <v>3970.3760000000002</v>
      </c>
      <c r="AS129" s="277">
        <f t="shared" si="63"/>
        <v>1.843997536098985E-2</v>
      </c>
      <c r="EC129" s="412" t="s">
        <v>578</v>
      </c>
      <c r="ED129" s="412" t="s">
        <v>581</v>
      </c>
      <c r="EE129" s="412">
        <v>11592.5041</v>
      </c>
      <c r="EF129" s="412">
        <v>0.22500767466600097</v>
      </c>
      <c r="EG129" s="413">
        <v>859036</v>
      </c>
      <c r="EH129" s="414">
        <f t="shared" si="55"/>
        <v>211.36478334286679</v>
      </c>
      <c r="EI129" s="415">
        <f t="shared" si="56"/>
        <v>0.84069834011920763</v>
      </c>
      <c r="EJ129" s="402">
        <v>0</v>
      </c>
      <c r="EM129" s="278" t="s">
        <v>578</v>
      </c>
      <c r="EN129" s="278" t="s">
        <v>581</v>
      </c>
      <c r="EO129" s="278">
        <v>11592.5041</v>
      </c>
      <c r="EP129" s="278">
        <v>0.22500767466600097</v>
      </c>
      <c r="EQ129" s="289">
        <v>859036</v>
      </c>
      <c r="ER129" s="290">
        <f t="shared" si="37"/>
        <v>211.36478334286679</v>
      </c>
      <c r="ES129" s="291">
        <f t="shared" si="38"/>
        <v>0.84069834011920763</v>
      </c>
      <c r="ET129" s="402">
        <v>0</v>
      </c>
      <c r="EV129" s="34"/>
      <c r="EW129" s="34"/>
      <c r="EX129" s="34"/>
      <c r="EY129" s="34"/>
      <c r="EZ129" s="378"/>
      <c r="FA129" s="401"/>
      <c r="FB129" s="402"/>
      <c r="FC129" s="402"/>
    </row>
    <row r="130" spans="42:159">
      <c r="AP130" t="s">
        <v>15</v>
      </c>
      <c r="AQ130" t="s">
        <v>95</v>
      </c>
      <c r="AR130" s="75">
        <v>14487.1335</v>
      </c>
      <c r="AS130" s="277">
        <f t="shared" si="63"/>
        <v>6.7283900766922491E-2</v>
      </c>
      <c r="EC130" s="412" t="s">
        <v>24</v>
      </c>
      <c r="ED130" s="412" t="s">
        <v>582</v>
      </c>
      <c r="EE130" s="412">
        <v>11518.725399999999</v>
      </c>
      <c r="EF130" s="412">
        <v>0.5685947059337656</v>
      </c>
      <c r="EG130" s="413">
        <v>859037</v>
      </c>
      <c r="EH130" s="414">
        <f t="shared" si="55"/>
        <v>169.10154927385463</v>
      </c>
      <c r="EI130" s="415">
        <f t="shared" si="56"/>
        <v>0.67259734350118627</v>
      </c>
      <c r="EJ130" s="402">
        <v>0</v>
      </c>
      <c r="EM130" s="278" t="s">
        <v>24</v>
      </c>
      <c r="EN130" s="278" t="s">
        <v>582</v>
      </c>
      <c r="EO130" s="278">
        <v>11518.725399999999</v>
      </c>
      <c r="EP130" s="278">
        <v>0.5685947059337656</v>
      </c>
      <c r="EQ130" s="289">
        <v>859037</v>
      </c>
      <c r="ER130" s="290">
        <f t="shared" si="37"/>
        <v>169.10154927385463</v>
      </c>
      <c r="ES130" s="291">
        <f t="shared" si="38"/>
        <v>0.67259734350118627</v>
      </c>
      <c r="ET130" s="402">
        <v>0</v>
      </c>
      <c r="EV130" s="34"/>
      <c r="EW130" s="34"/>
      <c r="EX130" s="34"/>
      <c r="EY130" s="34"/>
      <c r="EZ130" s="378"/>
      <c r="FA130" s="401"/>
      <c r="FB130" s="402"/>
      <c r="FC130" s="402"/>
    </row>
    <row r="131" spans="42:159">
      <c r="AP131" t="s">
        <v>15</v>
      </c>
      <c r="AQ131" t="s">
        <v>96</v>
      </c>
      <c r="AR131" s="75">
        <v>7440.5132000000003</v>
      </c>
      <c r="AS131" s="277">
        <f t="shared" si="63"/>
        <v>3.4556646544589169E-2</v>
      </c>
      <c r="EC131" s="412" t="s">
        <v>24</v>
      </c>
      <c r="ED131" s="412" t="s">
        <v>583</v>
      </c>
      <c r="EE131" s="412">
        <v>8739.51</v>
      </c>
      <c r="EF131" s="412">
        <v>0.43140529406623446</v>
      </c>
      <c r="EG131" s="413">
        <v>859038</v>
      </c>
      <c r="EH131" s="414">
        <f t="shared" si="55"/>
        <v>128.3010601932003</v>
      </c>
      <c r="EI131" s="415">
        <f t="shared" si="56"/>
        <v>0.51031437987939643</v>
      </c>
      <c r="EJ131" s="402">
        <v>0</v>
      </c>
      <c r="EM131" s="278" t="s">
        <v>24</v>
      </c>
      <c r="EN131" s="278" t="s">
        <v>583</v>
      </c>
      <c r="EO131" s="278">
        <v>8739.51</v>
      </c>
      <c r="EP131" s="278">
        <v>0.43140529406623446</v>
      </c>
      <c r="EQ131" s="289">
        <v>859038</v>
      </c>
      <c r="ER131" s="290">
        <f t="shared" si="37"/>
        <v>128.3010601932003</v>
      </c>
      <c r="ES131" s="291">
        <f t="shared" si="38"/>
        <v>0.51031437987939643</v>
      </c>
      <c r="ET131" s="402">
        <v>0</v>
      </c>
      <c r="EV131" s="34"/>
      <c r="EW131" s="34"/>
      <c r="EX131" s="34"/>
      <c r="EY131" s="34"/>
      <c r="EZ131" s="378"/>
      <c r="FA131" s="401"/>
      <c r="FB131" s="402"/>
      <c r="FC131" s="402"/>
    </row>
    <row r="132" spans="42:159">
      <c r="AP132" t="s">
        <v>15</v>
      </c>
      <c r="AQ132" t="s">
        <v>97</v>
      </c>
      <c r="AR132" s="75">
        <v>20150.029900000001</v>
      </c>
      <c r="AS132" s="277">
        <f t="shared" si="63"/>
        <v>9.3584601276858623E-2</v>
      </c>
      <c r="EC132" s="412" t="s">
        <v>481</v>
      </c>
      <c r="ED132" s="412" t="s">
        <v>584</v>
      </c>
      <c r="EE132" s="412">
        <v>2599.7966999999999</v>
      </c>
      <c r="EF132" s="412">
        <v>0.17076241811950377</v>
      </c>
      <c r="EG132" s="413">
        <v>859039</v>
      </c>
      <c r="EH132" s="414">
        <f t="shared" si="55"/>
        <v>16.01292844105388</v>
      </c>
      <c r="EI132" s="415">
        <f t="shared" si="56"/>
        <v>6.3691037588812088E-2</v>
      </c>
      <c r="EJ132" s="402">
        <v>0</v>
      </c>
      <c r="EM132" s="278" t="s">
        <v>481</v>
      </c>
      <c r="EN132" s="278" t="s">
        <v>584</v>
      </c>
      <c r="EO132" s="278">
        <v>2599.7966999999999</v>
      </c>
      <c r="EP132" s="278">
        <v>0.17076241811950377</v>
      </c>
      <c r="EQ132" s="289">
        <v>859039</v>
      </c>
      <c r="ER132" s="290">
        <f t="shared" si="37"/>
        <v>16.01292844105388</v>
      </c>
      <c r="ES132" s="291">
        <f t="shared" si="38"/>
        <v>6.3691037588812088E-2</v>
      </c>
      <c r="ET132" s="402">
        <v>0</v>
      </c>
      <c r="EV132" s="34"/>
      <c r="EW132" s="34"/>
      <c r="EX132" s="34"/>
      <c r="EY132" s="34"/>
      <c r="EZ132" s="378"/>
      <c r="FA132" s="401"/>
      <c r="FB132" s="402"/>
      <c r="FC132" s="402"/>
    </row>
    <row r="133" spans="42:159">
      <c r="AP133" t="s">
        <v>15</v>
      </c>
      <c r="AQ133" t="s">
        <v>98</v>
      </c>
      <c r="AR133" s="75">
        <v>8631.4781000000003</v>
      </c>
      <c r="AS133" s="277">
        <f t="shared" si="63"/>
        <v>4.0087952247576428E-2</v>
      </c>
      <c r="EC133" s="412" t="s">
        <v>481</v>
      </c>
      <c r="ED133" s="412" t="s">
        <v>393</v>
      </c>
      <c r="EE133" s="412">
        <v>1032.4983</v>
      </c>
      <c r="EF133" s="412">
        <v>6.7817574509682552E-2</v>
      </c>
      <c r="EG133" s="413">
        <v>859040</v>
      </c>
      <c r="EH133" s="414">
        <f t="shared" si="55"/>
        <v>6.3594670280986891</v>
      </c>
      <c r="EI133" s="415">
        <f t="shared" si="56"/>
        <v>2.529462708975843E-2</v>
      </c>
      <c r="EJ133" s="402">
        <v>0</v>
      </c>
      <c r="EM133" s="278" t="s">
        <v>481</v>
      </c>
      <c r="EN133" s="278" t="s">
        <v>393</v>
      </c>
      <c r="EO133" s="278">
        <v>1032.4983</v>
      </c>
      <c r="EP133" s="278">
        <v>6.7817574509682552E-2</v>
      </c>
      <c r="EQ133" s="289">
        <v>859040</v>
      </c>
      <c r="ER133" s="290">
        <f t="shared" si="37"/>
        <v>6.3594670280986891</v>
      </c>
      <c r="ES133" s="291">
        <f t="shared" si="38"/>
        <v>2.529462708975843E-2</v>
      </c>
      <c r="ET133" s="402">
        <v>0</v>
      </c>
      <c r="EV133" s="34"/>
      <c r="EW133" s="34"/>
      <c r="EX133" s="34"/>
      <c r="EY133" s="34"/>
      <c r="EZ133" s="378"/>
      <c r="FA133" s="401"/>
      <c r="FB133" s="402"/>
      <c r="FC133" s="402"/>
    </row>
    <row r="134" spans="42:159">
      <c r="AP134" t="s">
        <v>15</v>
      </c>
      <c r="AQ134" t="s">
        <v>99</v>
      </c>
      <c r="AR134" s="75">
        <v>11977.777099999999</v>
      </c>
      <c r="AS134" s="277">
        <f t="shared" si="63"/>
        <v>5.56294705094501E-2</v>
      </c>
      <c r="EC134" s="412" t="s">
        <v>481</v>
      </c>
      <c r="ED134" s="412" t="s">
        <v>130</v>
      </c>
      <c r="EE134" s="412">
        <v>1625.5998999999999</v>
      </c>
      <c r="EF134" s="412">
        <v>0.10677426039460067</v>
      </c>
      <c r="EG134" s="413">
        <v>859041</v>
      </c>
      <c r="EH134" s="414">
        <f t="shared" si="55"/>
        <v>10.012557855960177</v>
      </c>
      <c r="EI134" s="415">
        <f t="shared" si="56"/>
        <v>3.9824707960922162E-2</v>
      </c>
      <c r="EJ134" s="402">
        <v>0</v>
      </c>
      <c r="EM134" s="278" t="s">
        <v>481</v>
      </c>
      <c r="EN134" s="278" t="s">
        <v>130</v>
      </c>
      <c r="EO134" s="278">
        <v>1625.5998999999999</v>
      </c>
      <c r="EP134" s="278">
        <v>0.10677426039460067</v>
      </c>
      <c r="EQ134" s="289">
        <v>859041</v>
      </c>
      <c r="ER134" s="290">
        <f t="shared" si="37"/>
        <v>10.012557855960177</v>
      </c>
      <c r="ES134" s="291">
        <f t="shared" si="38"/>
        <v>3.9824707960922162E-2</v>
      </c>
      <c r="ET134" s="402">
        <v>0</v>
      </c>
      <c r="EV134" s="34"/>
      <c r="EW134" s="34"/>
      <c r="EX134" s="34"/>
      <c r="EY134" s="34"/>
      <c r="EZ134" s="378"/>
      <c r="FA134" s="401"/>
      <c r="FB134" s="402"/>
      <c r="FC134" s="402"/>
    </row>
    <row r="135" spans="42:159">
      <c r="AP135" t="s">
        <v>15</v>
      </c>
      <c r="AQ135" t="s">
        <v>100</v>
      </c>
      <c r="AR135" s="75">
        <v>5754.1068999999998</v>
      </c>
      <c r="AS135" s="277">
        <f t="shared" si="63"/>
        <v>2.672431766172818E-2</v>
      </c>
      <c r="EC135" s="412" t="s">
        <v>481</v>
      </c>
      <c r="ED135" s="412" t="s">
        <v>131</v>
      </c>
      <c r="EE135" s="412">
        <v>2880.0880999999999</v>
      </c>
      <c r="EF135" s="412">
        <v>0.18917279507017112</v>
      </c>
      <c r="EG135" s="413">
        <v>859042</v>
      </c>
      <c r="EH135" s="414">
        <f t="shared" si="55"/>
        <v>17.739327328644901</v>
      </c>
      <c r="EI135" s="415">
        <f t="shared" si="56"/>
        <v>7.0557747625493314E-2</v>
      </c>
      <c r="EJ135" s="402">
        <v>0</v>
      </c>
      <c r="EM135" s="278" t="s">
        <v>481</v>
      </c>
      <c r="EN135" s="278" t="s">
        <v>131</v>
      </c>
      <c r="EO135" s="278">
        <v>2880.0880999999999</v>
      </c>
      <c r="EP135" s="278">
        <v>0.18917279507017112</v>
      </c>
      <c r="EQ135" s="289">
        <v>859042</v>
      </c>
      <c r="ER135" s="290">
        <f t="shared" si="37"/>
        <v>17.739327328644901</v>
      </c>
      <c r="ES135" s="291">
        <f t="shared" si="38"/>
        <v>7.0557747625493314E-2</v>
      </c>
      <c r="ET135" s="402">
        <v>0</v>
      </c>
      <c r="EV135" s="34"/>
      <c r="EW135" s="34"/>
      <c r="EX135" s="34"/>
      <c r="EY135" s="34"/>
      <c r="EZ135" s="378"/>
      <c r="FA135" s="401"/>
      <c r="FB135" s="402"/>
      <c r="FC135" s="402"/>
    </row>
    <row r="136" spans="42:159">
      <c r="AP136" t="s">
        <v>15</v>
      </c>
      <c r="AQ136" t="s">
        <v>101</v>
      </c>
      <c r="AR136" s="75">
        <v>6005.2467999999999</v>
      </c>
      <c r="AS136" s="277">
        <f t="shared" si="63"/>
        <v>2.7890709350616452E-2</v>
      </c>
      <c r="EC136" s="412" t="s">
        <v>481</v>
      </c>
      <c r="ED136" s="412" t="s">
        <v>132</v>
      </c>
      <c r="EE136" s="412">
        <v>687.99680000000001</v>
      </c>
      <c r="EF136" s="412">
        <v>4.5189686265268592E-2</v>
      </c>
      <c r="EG136" s="413">
        <v>859043</v>
      </c>
      <c r="EH136" s="414">
        <f t="shared" si="55"/>
        <v>4.2375788560982706</v>
      </c>
      <c r="EI136" s="415">
        <f t="shared" si="56"/>
        <v>1.6854867940167183E-2</v>
      </c>
      <c r="EJ136" s="402">
        <v>0</v>
      </c>
      <c r="EM136" s="278" t="s">
        <v>481</v>
      </c>
      <c r="EN136" s="278" t="s">
        <v>132</v>
      </c>
      <c r="EO136" s="278">
        <v>687.99680000000001</v>
      </c>
      <c r="EP136" s="278">
        <v>4.5189686265268592E-2</v>
      </c>
      <c r="EQ136" s="289">
        <v>859043</v>
      </c>
      <c r="ER136" s="290">
        <f t="shared" si="37"/>
        <v>4.2375788560982706</v>
      </c>
      <c r="ES136" s="291">
        <f t="shared" si="38"/>
        <v>1.6854867940167183E-2</v>
      </c>
      <c r="ET136" s="402">
        <v>0</v>
      </c>
      <c r="EV136" s="34"/>
      <c r="EW136" s="34"/>
      <c r="EX136" s="34"/>
      <c r="EY136" s="34"/>
      <c r="EZ136" s="378"/>
      <c r="FA136" s="401"/>
      <c r="FB136" s="402"/>
      <c r="FC136" s="402"/>
    </row>
    <row r="137" spans="42:159">
      <c r="AP137" t="s">
        <v>16</v>
      </c>
      <c r="AQ137" t="s">
        <v>113</v>
      </c>
      <c r="AR137" s="75">
        <v>10596.0813</v>
      </c>
      <c r="AS137" s="277">
        <f t="shared" si="63"/>
        <v>0.3566329663552395</v>
      </c>
      <c r="EC137" s="412" t="s">
        <v>481</v>
      </c>
      <c r="ED137" s="412" t="s">
        <v>133</v>
      </c>
      <c r="EE137" s="412">
        <v>2308.0711000000001</v>
      </c>
      <c r="EF137" s="412">
        <v>0.15160100873569959</v>
      </c>
      <c r="EG137" s="413">
        <v>859044</v>
      </c>
      <c r="EH137" s="414">
        <f t="shared" si="55"/>
        <v>14.216102882646366</v>
      </c>
      <c r="EI137" s="415">
        <f t="shared" si="56"/>
        <v>5.6544207163487382E-2</v>
      </c>
      <c r="EJ137" s="402">
        <v>0</v>
      </c>
      <c r="EM137" s="278" t="s">
        <v>481</v>
      </c>
      <c r="EN137" s="278" t="s">
        <v>133</v>
      </c>
      <c r="EO137" s="278">
        <v>2308.0711000000001</v>
      </c>
      <c r="EP137" s="278">
        <v>0.15160100873569959</v>
      </c>
      <c r="EQ137" s="289">
        <v>859044</v>
      </c>
      <c r="ER137" s="290">
        <f t="shared" si="37"/>
        <v>14.216102882646366</v>
      </c>
      <c r="ES137" s="291">
        <f t="shared" si="38"/>
        <v>5.6544207163487382E-2</v>
      </c>
      <c r="ET137" s="402">
        <v>0</v>
      </c>
      <c r="EV137" s="34"/>
      <c r="EW137" s="34"/>
      <c r="EX137" s="34"/>
      <c r="EY137" s="34"/>
      <c r="EZ137" s="378"/>
      <c r="FA137" s="401"/>
      <c r="FB137" s="402"/>
      <c r="FC137" s="402"/>
    </row>
    <row r="138" spans="42:159" ht="17.5" thickBot="1">
      <c r="AP138" t="s">
        <v>16</v>
      </c>
      <c r="AQ138" t="s">
        <v>114</v>
      </c>
      <c r="AR138" s="75">
        <v>10127.7948</v>
      </c>
      <c r="AS138" s="277">
        <f t="shared" si="63"/>
        <v>0.34087181854306553</v>
      </c>
      <c r="EC138" s="412" t="s">
        <v>481</v>
      </c>
      <c r="ED138" s="412" t="s">
        <v>134</v>
      </c>
      <c r="EE138" s="412">
        <v>4090.5911999999998</v>
      </c>
      <c r="EF138" s="412">
        <v>0.26868225690507364</v>
      </c>
      <c r="EG138" s="416">
        <v>859045</v>
      </c>
      <c r="EH138" s="414">
        <f t="shared" si="55"/>
        <v>25.195179364295957</v>
      </c>
      <c r="EI138" s="415">
        <f t="shared" si="56"/>
        <v>0.10021321970278059</v>
      </c>
      <c r="EJ138" s="402">
        <v>0</v>
      </c>
      <c r="EM138" s="278" t="s">
        <v>481</v>
      </c>
      <c r="EN138" s="278" t="s">
        <v>134</v>
      </c>
      <c r="EO138" s="278">
        <v>4090.5911999999998</v>
      </c>
      <c r="EP138" s="278">
        <v>0.26868225690507364</v>
      </c>
      <c r="EQ138" s="292">
        <v>859045</v>
      </c>
      <c r="ER138" s="290">
        <f t="shared" si="37"/>
        <v>25.195179364295957</v>
      </c>
      <c r="ES138" s="291">
        <f t="shared" si="38"/>
        <v>0.10021321970278059</v>
      </c>
      <c r="ET138" s="402">
        <v>0</v>
      </c>
      <c r="EV138" s="34"/>
      <c r="EW138" s="34"/>
      <c r="EX138" s="34"/>
      <c r="EY138" s="34"/>
      <c r="EZ138" s="378"/>
      <c r="FA138" s="401"/>
      <c r="FB138" s="402"/>
      <c r="FC138" s="402"/>
    </row>
    <row r="139" spans="42:159">
      <c r="AP139" t="s">
        <v>16</v>
      </c>
      <c r="AQ139" t="s">
        <v>115</v>
      </c>
      <c r="AR139" s="75">
        <v>8987.5704000000005</v>
      </c>
      <c r="AS139" s="277">
        <f t="shared" si="63"/>
        <v>0.30249521510169491</v>
      </c>
      <c r="EG139" s="230">
        <f>ABS(SUM(EQ94:EQ138))</f>
        <v>38656035</v>
      </c>
      <c r="EH139" s="230">
        <f>SUM(EH94:EH138)</f>
        <v>11190.625044767681</v>
      </c>
      <c r="EI139" s="230">
        <f>SUM(EI94:EI138)</f>
        <v>44.510441859046459</v>
      </c>
      <c r="EJ139" s="230">
        <f>SUM(EJ94:EJ138)</f>
        <v>1684.2312137393226</v>
      </c>
      <c r="EQ139" s="230"/>
      <c r="ER139" s="230">
        <f>SUM(ER94:ER138)</f>
        <v>11190.625044767681</v>
      </c>
      <c r="ES139" s="230">
        <f>SUM(ES94:ES138)</f>
        <v>44.510441859046459</v>
      </c>
      <c r="ET139" s="230">
        <f>SUM(ET94:ET138)</f>
        <v>1684.0340218921162</v>
      </c>
      <c r="FA139" s="230"/>
      <c r="FB139" s="230"/>
    </row>
    <row r="140" spans="42:159">
      <c r="AP140" t="s">
        <v>141</v>
      </c>
      <c r="AQ140" t="s">
        <v>102</v>
      </c>
      <c r="AR140" s="75">
        <v>2607.4872</v>
      </c>
      <c r="AS140" s="277">
        <f t="shared" si="63"/>
        <v>3.7361234000204045E-2</v>
      </c>
      <c r="EH140" s="230">
        <f t="shared" ref="EH140:EI140" si="68">EH139</f>
        <v>11190.625044767681</v>
      </c>
      <c r="EI140" s="230">
        <f t="shared" si="68"/>
        <v>44.510441859046459</v>
      </c>
      <c r="EJ140" s="230">
        <f>EJ139</f>
        <v>1684.2312137393226</v>
      </c>
    </row>
    <row r="141" spans="42:159">
      <c r="AP141" t="s">
        <v>141</v>
      </c>
      <c r="AQ141" t="s">
        <v>103</v>
      </c>
      <c r="AR141" s="75">
        <v>15824.4439</v>
      </c>
      <c r="AS141" s="277">
        <f t="shared" si="63"/>
        <v>0.22673965627559034</v>
      </c>
      <c r="EH141" s="230" t="s">
        <v>603</v>
      </c>
    </row>
    <row r="142" spans="42:159">
      <c r="AP142" t="s">
        <v>141</v>
      </c>
      <c r="AQ142" t="s">
        <v>104</v>
      </c>
      <c r="AR142" s="75">
        <v>11511.7454</v>
      </c>
      <c r="AS142" s="277">
        <f t="shared" si="63"/>
        <v>0.16494539786817458</v>
      </c>
    </row>
    <row r="143" spans="42:159">
      <c r="AP143" t="s">
        <v>141</v>
      </c>
      <c r="AQ143" t="s">
        <v>117</v>
      </c>
      <c r="AR143" s="75">
        <v>4659.9287999999997</v>
      </c>
      <c r="AS143" s="277">
        <f t="shared" si="63"/>
        <v>6.6769528272694875E-2</v>
      </c>
    </row>
    <row r="144" spans="42:159">
      <c r="AP144" t="s">
        <v>141</v>
      </c>
      <c r="AQ144" t="s">
        <v>118</v>
      </c>
      <c r="AR144" s="75">
        <v>23055.857</v>
      </c>
      <c r="AS144" s="277">
        <f t="shared" si="63"/>
        <v>0.33035455301649896</v>
      </c>
    </row>
    <row r="145" spans="42:45">
      <c r="AP145" t="s">
        <v>141</v>
      </c>
      <c r="AQ145" t="s">
        <v>119</v>
      </c>
      <c r="AR145" s="75">
        <v>12131.7871</v>
      </c>
      <c r="AS145" s="277">
        <f t="shared" si="63"/>
        <v>0.17382963056683723</v>
      </c>
    </row>
    <row r="146" spans="42:45">
      <c r="AP146" t="s">
        <v>143</v>
      </c>
      <c r="AQ146" t="s">
        <v>105</v>
      </c>
      <c r="AR146" s="75">
        <v>17191.4817</v>
      </c>
      <c r="AS146" s="277">
        <f t="shared" si="63"/>
        <v>0.33368246308233862</v>
      </c>
    </row>
    <row r="147" spans="42:45">
      <c r="AP147" t="s">
        <v>143</v>
      </c>
      <c r="AQ147" t="s">
        <v>106</v>
      </c>
      <c r="AR147" s="75">
        <v>22736.497299999999</v>
      </c>
      <c r="AS147" s="277">
        <f t="shared" si="63"/>
        <v>0.44130986225166047</v>
      </c>
    </row>
    <row r="148" spans="42:45">
      <c r="AP148" t="s">
        <v>143</v>
      </c>
      <c r="AQ148" t="s">
        <v>123</v>
      </c>
      <c r="AR148" s="75">
        <v>11592.5041</v>
      </c>
      <c r="AS148" s="277">
        <f t="shared" si="63"/>
        <v>0.22500767466600097</v>
      </c>
    </row>
    <row r="149" spans="42:45">
      <c r="AP149" t="s">
        <v>144</v>
      </c>
      <c r="AQ149" t="s">
        <v>125</v>
      </c>
      <c r="AR149" s="75">
        <v>11518.725399999999</v>
      </c>
      <c r="AS149" s="277">
        <f t="shared" si="63"/>
        <v>0.5685947059337656</v>
      </c>
    </row>
    <row r="150" spans="42:45">
      <c r="AP150" t="s">
        <v>24</v>
      </c>
      <c r="AQ150" t="s">
        <v>126</v>
      </c>
      <c r="AR150" s="75">
        <v>8739.51</v>
      </c>
      <c r="AS150" s="277">
        <f t="shared" si="63"/>
        <v>0.43140529406623446</v>
      </c>
    </row>
    <row r="151" spans="42:45">
      <c r="AP151" t="s">
        <v>146</v>
      </c>
      <c r="AQ151" t="s">
        <v>127</v>
      </c>
      <c r="AR151" s="75">
        <v>2599.7966999999999</v>
      </c>
      <c r="AS151" s="277">
        <f t="shared" si="63"/>
        <v>0.17076241811950377</v>
      </c>
    </row>
    <row r="152" spans="42:45">
      <c r="AP152" t="s">
        <v>146</v>
      </c>
      <c r="AQ152" t="s">
        <v>128</v>
      </c>
      <c r="AR152" s="75">
        <v>1032.4983</v>
      </c>
      <c r="AS152" s="277">
        <f t="shared" si="63"/>
        <v>6.7817574509682552E-2</v>
      </c>
    </row>
    <row r="153" spans="42:45">
      <c r="AP153" t="s">
        <v>146</v>
      </c>
      <c r="AQ153" t="s">
        <v>130</v>
      </c>
      <c r="AR153" s="75">
        <v>1625.5998999999999</v>
      </c>
      <c r="AS153" s="277">
        <f t="shared" si="63"/>
        <v>0.10677426039460067</v>
      </c>
    </row>
    <row r="154" spans="42:45">
      <c r="AP154" t="s">
        <v>146</v>
      </c>
      <c r="AQ154" t="s">
        <v>131</v>
      </c>
      <c r="AR154" s="75">
        <v>2880.0880999999999</v>
      </c>
      <c r="AS154" s="277">
        <f t="shared" si="63"/>
        <v>0.18917279507017112</v>
      </c>
    </row>
    <row r="155" spans="42:45">
      <c r="AP155" t="s">
        <v>146</v>
      </c>
      <c r="AQ155" t="s">
        <v>132</v>
      </c>
      <c r="AR155" s="75">
        <v>687.99680000000001</v>
      </c>
      <c r="AS155" s="277">
        <f t="shared" si="63"/>
        <v>4.5189686265268592E-2</v>
      </c>
    </row>
    <row r="156" spans="42:45">
      <c r="AP156" t="s">
        <v>146</v>
      </c>
      <c r="AQ156" t="s">
        <v>133</v>
      </c>
      <c r="AR156" s="75">
        <v>2308.0711000000001</v>
      </c>
      <c r="AS156" s="277">
        <f t="shared" si="63"/>
        <v>0.15160100873569959</v>
      </c>
    </row>
    <row r="157" spans="42:45">
      <c r="AP157" t="s">
        <v>146</v>
      </c>
      <c r="AQ157" t="s">
        <v>134</v>
      </c>
      <c r="AR157" s="75">
        <v>4090.5911999999998</v>
      </c>
      <c r="AS157" s="277">
        <f t="shared" si="63"/>
        <v>0.26868225690507364</v>
      </c>
    </row>
    <row r="158" spans="42:45">
      <c r="AS158" s="277"/>
    </row>
    <row r="159" spans="42:45">
      <c r="AS159" s="277"/>
    </row>
    <row r="160" spans="42:45">
      <c r="AS160" s="277"/>
    </row>
    <row r="161" spans="1:48">
      <c r="AS161" s="277"/>
    </row>
    <row r="162" spans="1:48">
      <c r="AS162" s="277"/>
    </row>
    <row r="163" spans="1:48" ht="20.5">
      <c r="E163" s="364" t="s">
        <v>826</v>
      </c>
      <c r="AS163" s="277"/>
    </row>
    <row r="164" spans="1:48">
      <c r="C164" t="s">
        <v>775</v>
      </c>
      <c r="E164" s="98"/>
      <c r="F164" s="98"/>
      <c r="G164" s="98" t="s">
        <v>764</v>
      </c>
      <c r="H164" s="306" t="s">
        <v>765</v>
      </c>
      <c r="I164" s="363" t="s">
        <v>766</v>
      </c>
      <c r="J164" s="98" t="s">
        <v>767</v>
      </c>
      <c r="K164" s="98" t="s">
        <v>768</v>
      </c>
      <c r="L164" s="98" t="s">
        <v>782</v>
      </c>
      <c r="M164" s="435" t="s">
        <v>783</v>
      </c>
      <c r="N164" s="98" t="s">
        <v>784</v>
      </c>
      <c r="O164" s="98" t="s">
        <v>785</v>
      </c>
      <c r="P164" s="98" t="s">
        <v>786</v>
      </c>
      <c r="Q164" s="98" t="s">
        <v>787</v>
      </c>
      <c r="R164" s="435" t="s">
        <v>788</v>
      </c>
      <c r="S164" s="98" t="s">
        <v>789</v>
      </c>
      <c r="T164" s="98" t="s">
        <v>790</v>
      </c>
      <c r="U164" s="98" t="s">
        <v>791</v>
      </c>
      <c r="V164" s="98" t="s">
        <v>792</v>
      </c>
      <c r="W164" s="435" t="s">
        <v>793</v>
      </c>
      <c r="X164" s="98" t="s">
        <v>794</v>
      </c>
      <c r="Y164" s="98" t="s">
        <v>795</v>
      </c>
      <c r="Z164" s="98" t="s">
        <v>796</v>
      </c>
      <c r="AA164" s="98" t="s">
        <v>797</v>
      </c>
      <c r="AB164" s="98" t="s">
        <v>798</v>
      </c>
      <c r="AC164" s="98" t="s">
        <v>799</v>
      </c>
      <c r="AD164" s="98" t="s">
        <v>800</v>
      </c>
      <c r="AE164" s="98" t="s">
        <v>801</v>
      </c>
      <c r="AF164" s="98" t="s">
        <v>802</v>
      </c>
      <c r="AG164" s="98" t="s">
        <v>803</v>
      </c>
      <c r="AH164" s="98" t="s">
        <v>804</v>
      </c>
      <c r="AI164" s="98" t="s">
        <v>805</v>
      </c>
      <c r="AJ164" s="98" t="s">
        <v>806</v>
      </c>
      <c r="AK164" s="98" t="s">
        <v>807</v>
      </c>
      <c r="AL164" s="98" t="s">
        <v>808</v>
      </c>
      <c r="AM164" s="98" t="s">
        <v>809</v>
      </c>
      <c r="AN164" s="98" t="s">
        <v>810</v>
      </c>
      <c r="AO164" s="98" t="s">
        <v>811</v>
      </c>
      <c r="AP164" s="98" t="s">
        <v>812</v>
      </c>
      <c r="AQ164" s="98" t="s">
        <v>813</v>
      </c>
      <c r="AR164" s="98" t="s">
        <v>814</v>
      </c>
      <c r="AS164" s="98" t="s">
        <v>815</v>
      </c>
      <c r="AT164" s="98" t="s">
        <v>816</v>
      </c>
      <c r="AU164" s="98" t="s">
        <v>817</v>
      </c>
    </row>
    <row r="165" spans="1:48">
      <c r="C165">
        <v>2024</v>
      </c>
      <c r="E165" s="98"/>
      <c r="F165" s="98"/>
      <c r="G165" s="369">
        <v>0</v>
      </c>
      <c r="H165" s="370">
        <v>1</v>
      </c>
      <c r="I165" s="371">
        <v>2</v>
      </c>
      <c r="J165" s="369">
        <v>3</v>
      </c>
      <c r="K165" s="369">
        <v>4</v>
      </c>
      <c r="L165" s="369">
        <v>5</v>
      </c>
      <c r="M165" s="436">
        <v>6</v>
      </c>
      <c r="N165" s="369">
        <v>7</v>
      </c>
      <c r="O165" s="369">
        <v>8</v>
      </c>
      <c r="P165" s="369">
        <v>9</v>
      </c>
      <c r="Q165" s="369">
        <v>10</v>
      </c>
      <c r="R165" s="436">
        <v>11</v>
      </c>
      <c r="S165" s="369">
        <v>12</v>
      </c>
      <c r="T165" s="369">
        <v>13</v>
      </c>
      <c r="U165" s="369">
        <v>14</v>
      </c>
      <c r="V165" s="369">
        <v>15</v>
      </c>
      <c r="W165" s="436">
        <v>16</v>
      </c>
      <c r="X165" s="369">
        <v>17</v>
      </c>
      <c r="Y165" s="369">
        <v>18</v>
      </c>
      <c r="Z165" s="369">
        <v>19</v>
      </c>
      <c r="AA165" s="369">
        <v>20</v>
      </c>
      <c r="AB165" s="369">
        <v>21</v>
      </c>
      <c r="AC165" s="369">
        <v>22</v>
      </c>
      <c r="AD165" s="369">
        <v>23</v>
      </c>
      <c r="AE165" s="369">
        <v>24</v>
      </c>
      <c r="AF165" s="369">
        <v>25</v>
      </c>
      <c r="AG165" s="369">
        <v>26</v>
      </c>
      <c r="AH165" s="369">
        <v>27</v>
      </c>
      <c r="AI165" s="369">
        <v>28</v>
      </c>
      <c r="AJ165" s="369">
        <v>29</v>
      </c>
      <c r="AK165" s="369">
        <v>30</v>
      </c>
      <c r="AL165" s="369">
        <v>31</v>
      </c>
      <c r="AM165" s="369">
        <v>32</v>
      </c>
      <c r="AN165" s="369">
        <v>33</v>
      </c>
      <c r="AO165" s="369">
        <v>34</v>
      </c>
      <c r="AP165" s="369">
        <v>35</v>
      </c>
      <c r="AQ165" s="369">
        <v>36</v>
      </c>
      <c r="AR165" s="369">
        <v>37</v>
      </c>
      <c r="AS165" s="369">
        <v>38</v>
      </c>
      <c r="AT165" s="369">
        <v>39</v>
      </c>
      <c r="AU165" s="369">
        <v>40</v>
      </c>
    </row>
    <row r="166" spans="1:48">
      <c r="E166" s="98" t="s">
        <v>769</v>
      </c>
      <c r="F166" s="98"/>
      <c r="G166" s="365">
        <v>0</v>
      </c>
      <c r="H166" s="366">
        <v>0.1</v>
      </c>
      <c r="I166" s="372">
        <v>0.16669999999999999</v>
      </c>
      <c r="J166" s="365">
        <v>0.23330000000000001</v>
      </c>
      <c r="K166" s="365">
        <v>0.3</v>
      </c>
      <c r="L166" s="365">
        <v>0.36670000000000003</v>
      </c>
      <c r="M166" s="437">
        <v>0.43330000000000002</v>
      </c>
      <c r="N166" s="365">
        <v>0.5</v>
      </c>
      <c r="O166" s="365">
        <v>0.56669999999999998</v>
      </c>
      <c r="P166" s="365">
        <v>0.63329999999999997</v>
      </c>
      <c r="Q166" s="365">
        <v>0.7</v>
      </c>
      <c r="R166" s="437">
        <v>0.72</v>
      </c>
      <c r="S166" s="365">
        <v>0.74</v>
      </c>
      <c r="T166" s="365">
        <v>0.76</v>
      </c>
      <c r="U166" s="365">
        <v>0.78</v>
      </c>
      <c r="V166" s="365">
        <v>0.8</v>
      </c>
      <c r="W166" s="437">
        <v>0.82</v>
      </c>
      <c r="X166" s="365">
        <v>0.84</v>
      </c>
      <c r="Y166" s="365">
        <v>0.86</v>
      </c>
      <c r="Z166" s="365">
        <v>0.88</v>
      </c>
      <c r="AA166" s="365">
        <v>0.9</v>
      </c>
      <c r="AB166" s="365">
        <v>0.89500000000000002</v>
      </c>
      <c r="AC166" s="365">
        <v>0.89</v>
      </c>
      <c r="AD166" s="365">
        <v>0.88500000000000001</v>
      </c>
      <c r="AE166" s="365">
        <v>0.88</v>
      </c>
      <c r="AF166" s="365">
        <v>0.875</v>
      </c>
      <c r="AG166" s="365">
        <v>0.87</v>
      </c>
      <c r="AH166" s="365">
        <v>0.86499999999999999</v>
      </c>
      <c r="AI166" s="365">
        <v>0.86</v>
      </c>
      <c r="AJ166" s="365">
        <v>0.85499999999999998</v>
      </c>
      <c r="AK166" s="365">
        <v>0.85</v>
      </c>
      <c r="AL166" s="381">
        <f>$AK$166*(1+$AV$166*1)</f>
        <v>0.85212499999999991</v>
      </c>
      <c r="AM166" s="381">
        <f>$AK$166*(1+$AV$166*2)</f>
        <v>0.85424999999999984</v>
      </c>
      <c r="AN166" s="381">
        <f>$AK$166*(1+$AV$166*3)</f>
        <v>0.856375</v>
      </c>
      <c r="AO166" s="381">
        <f>$AK$166*(1+$AV$166*4)</f>
        <v>0.85849999999999993</v>
      </c>
      <c r="AP166" s="381">
        <f>$AK$166*(1+$AV$166*5)</f>
        <v>0.86062499999999997</v>
      </c>
      <c r="AQ166" s="381">
        <f>$AK$166*(1+$AV$166*6)</f>
        <v>0.86275000000000013</v>
      </c>
      <c r="AR166" s="381">
        <f>$AK$166*(1+$AV$166*7)</f>
        <v>0.86487500000000006</v>
      </c>
      <c r="AS166" s="381">
        <f>$AK$166*(1+$AV$166*8)</f>
        <v>0.86699999999999999</v>
      </c>
      <c r="AT166" s="381">
        <f>$AK$166*(1+$AV$166*9)</f>
        <v>0.86912499999999993</v>
      </c>
      <c r="AU166" s="365">
        <v>0.875</v>
      </c>
      <c r="AV166" s="355">
        <f>(AU166-AK166)/10</f>
        <v>2.5000000000000022E-3</v>
      </c>
    </row>
    <row r="168" spans="1:48">
      <c r="S168" t="s">
        <v>762</v>
      </c>
    </row>
    <row r="169" spans="1:48" ht="17.5" thickBot="1">
      <c r="S169" s="362" t="s">
        <v>761</v>
      </c>
    </row>
    <row r="170" spans="1:48" ht="25.5" thickTop="1">
      <c r="A170" t="s">
        <v>746</v>
      </c>
      <c r="S170" s="576" t="s">
        <v>748</v>
      </c>
      <c r="T170" s="577"/>
      <c r="U170" s="1" t="s">
        <v>749</v>
      </c>
      <c r="V170" s="1" t="s">
        <v>751</v>
      </c>
      <c r="W170" s="1" t="s">
        <v>753</v>
      </c>
      <c r="X170" s="602" t="s">
        <v>754</v>
      </c>
    </row>
    <row r="171" spans="1:48" ht="17.5" thickBot="1">
      <c r="S171" s="578"/>
      <c r="T171" s="579"/>
      <c r="U171" s="3" t="s">
        <v>750</v>
      </c>
      <c r="V171" s="3" t="s">
        <v>752</v>
      </c>
      <c r="W171" s="3" t="s">
        <v>752</v>
      </c>
      <c r="X171" s="603"/>
    </row>
    <row r="172" spans="1:48" ht="17.5" thickTop="1">
      <c r="S172" s="354" t="s">
        <v>50</v>
      </c>
      <c r="T172" s="6" t="s">
        <v>755</v>
      </c>
      <c r="U172" s="6">
        <v>1</v>
      </c>
      <c r="V172" s="356">
        <v>0.5</v>
      </c>
      <c r="W172" s="356">
        <v>0.5</v>
      </c>
      <c r="X172" s="357">
        <v>0.38</v>
      </c>
    </row>
    <row r="173" spans="1:48" ht="28.5">
      <c r="S173" s="604" t="s">
        <v>756</v>
      </c>
      <c r="T173" s="358" t="s">
        <v>757</v>
      </c>
      <c r="U173" s="606">
        <v>4.5</v>
      </c>
      <c r="V173" s="590">
        <v>0.5</v>
      </c>
      <c r="W173" s="590">
        <v>0.5</v>
      </c>
      <c r="X173" s="592">
        <v>0.20799999999999999</v>
      </c>
    </row>
    <row r="174" spans="1:48">
      <c r="S174" s="605"/>
      <c r="T174" s="359" t="s">
        <v>758</v>
      </c>
      <c r="U174" s="607"/>
      <c r="V174" s="591"/>
      <c r="W174" s="591"/>
      <c r="X174" s="593"/>
    </row>
    <row r="175" spans="1:48" ht="54" thickBot="1">
      <c r="A175" s="26" t="s">
        <v>48</v>
      </c>
      <c r="S175" s="24" t="s">
        <v>52</v>
      </c>
      <c r="T175" s="16" t="s">
        <v>759</v>
      </c>
      <c r="U175" s="16">
        <v>8</v>
      </c>
      <c r="V175" s="360">
        <v>0.5</v>
      </c>
      <c r="W175" s="360">
        <v>0.5</v>
      </c>
      <c r="X175" s="361">
        <v>0.41199999999999998</v>
      </c>
    </row>
    <row r="176" spans="1:48" ht="21.5" thickTop="1" thickBot="1">
      <c r="B176" s="25" t="s">
        <v>69</v>
      </c>
      <c r="K176" t="s">
        <v>747</v>
      </c>
      <c r="S176" s="362" t="s">
        <v>760</v>
      </c>
    </row>
    <row r="177" spans="2:36" ht="17.5" thickTop="1">
      <c r="B177" s="595" t="s">
        <v>49</v>
      </c>
      <c r="C177" s="587" t="s">
        <v>50</v>
      </c>
      <c r="D177" s="597"/>
      <c r="E177" s="587" t="s">
        <v>51</v>
      </c>
      <c r="F177" s="597"/>
      <c r="G177" s="587" t="s">
        <v>52</v>
      </c>
      <c r="H177" s="597"/>
      <c r="I177" s="587" t="s">
        <v>53</v>
      </c>
      <c r="J177" s="588"/>
      <c r="K177" s="589"/>
    </row>
    <row r="178" spans="2:36" ht="30.5" thickBot="1">
      <c r="B178" s="596"/>
      <c r="C178" s="27" t="s">
        <v>40</v>
      </c>
      <c r="D178" s="27" t="s">
        <v>41</v>
      </c>
      <c r="E178" s="27" t="s">
        <v>40</v>
      </c>
      <c r="F178" s="27" t="s">
        <v>41</v>
      </c>
      <c r="G178" s="27" t="s">
        <v>40</v>
      </c>
      <c r="H178" s="27" t="s">
        <v>41</v>
      </c>
      <c r="I178" s="27" t="s">
        <v>40</v>
      </c>
      <c r="J178" s="27" t="s">
        <v>41</v>
      </c>
      <c r="K178" s="28" t="s">
        <v>21</v>
      </c>
      <c r="L178" s="28" t="s">
        <v>21</v>
      </c>
      <c r="P178" s="397">
        <v>2025</v>
      </c>
      <c r="Q178" s="395"/>
      <c r="R178" s="395"/>
      <c r="S178" s="395"/>
      <c r="T178" s="395"/>
      <c r="U178" s="395"/>
      <c r="V178" s="395"/>
      <c r="W178" s="395"/>
      <c r="X178" s="395"/>
      <c r="Y178" s="395"/>
      <c r="Z178" s="395"/>
      <c r="AA178" s="395"/>
      <c r="AB178" s="395"/>
      <c r="AC178" s="395"/>
      <c r="AD178" s="395"/>
      <c r="AE178" s="395"/>
      <c r="AF178" s="395"/>
      <c r="AG178" s="395"/>
      <c r="AH178" s="395"/>
      <c r="AI178" s="395"/>
      <c r="AJ178" s="395"/>
    </row>
    <row r="179" spans="2:36" ht="24" thickTop="1" thickBot="1">
      <c r="B179" s="22" t="s">
        <v>54</v>
      </c>
      <c r="C179" s="6">
        <v>15</v>
      </c>
      <c r="D179" s="6">
        <v>15</v>
      </c>
      <c r="E179" s="6">
        <v>8</v>
      </c>
      <c r="F179" s="6">
        <v>8</v>
      </c>
      <c r="G179" s="6">
        <v>16</v>
      </c>
      <c r="H179" s="6">
        <v>16</v>
      </c>
      <c r="I179" s="6">
        <v>39</v>
      </c>
      <c r="J179" s="6">
        <v>39</v>
      </c>
      <c r="K179" s="7">
        <v>78</v>
      </c>
      <c r="L179" s="7">
        <v>78</v>
      </c>
      <c r="Q179" s="353" t="s">
        <v>822</v>
      </c>
      <c r="AB179" s="353" t="s">
        <v>824</v>
      </c>
    </row>
    <row r="180" spans="2:36" ht="32">
      <c r="B180" s="23" t="s">
        <v>55</v>
      </c>
      <c r="C180" s="9">
        <v>17</v>
      </c>
      <c r="D180" s="9">
        <v>17</v>
      </c>
      <c r="E180" s="9">
        <v>9</v>
      </c>
      <c r="F180" s="9">
        <v>9</v>
      </c>
      <c r="G180" s="9">
        <v>18</v>
      </c>
      <c r="H180" s="9">
        <v>18</v>
      </c>
      <c r="I180" s="9">
        <v>44</v>
      </c>
      <c r="J180" s="9">
        <v>44</v>
      </c>
      <c r="K180" s="10">
        <v>88</v>
      </c>
      <c r="L180" s="10">
        <v>88</v>
      </c>
      <c r="S180" s="306" t="s">
        <v>564</v>
      </c>
      <c r="T180" s="306" t="s">
        <v>565</v>
      </c>
      <c r="U180" s="306" t="s">
        <v>566</v>
      </c>
      <c r="V180" s="383" t="s">
        <v>562</v>
      </c>
      <c r="W180" s="385" t="s">
        <v>597</v>
      </c>
      <c r="X180" s="386" t="s">
        <v>821</v>
      </c>
      <c r="AB180" s="101" t="s">
        <v>564</v>
      </c>
      <c r="AC180" s="101" t="s">
        <v>565</v>
      </c>
      <c r="AD180" s="101" t="s">
        <v>566</v>
      </c>
      <c r="AE180" s="389" t="s">
        <v>562</v>
      </c>
      <c r="AF180" s="390" t="s">
        <v>597</v>
      </c>
      <c r="AG180" s="391" t="s">
        <v>821</v>
      </c>
    </row>
    <row r="181" spans="2:36" ht="32">
      <c r="B181" s="23" t="s">
        <v>56</v>
      </c>
      <c r="C181" s="9">
        <v>17</v>
      </c>
      <c r="D181" s="9">
        <v>17</v>
      </c>
      <c r="E181" s="9">
        <v>9</v>
      </c>
      <c r="F181" s="9">
        <v>9</v>
      </c>
      <c r="G181" s="9">
        <v>18</v>
      </c>
      <c r="H181" s="9">
        <v>18</v>
      </c>
      <c r="I181" s="9">
        <v>44</v>
      </c>
      <c r="J181" s="9">
        <v>44</v>
      </c>
      <c r="K181" s="10">
        <v>88</v>
      </c>
      <c r="L181" s="10">
        <v>88</v>
      </c>
      <c r="S181" s="306" t="s">
        <v>141</v>
      </c>
      <c r="T181" s="306" t="s">
        <v>818</v>
      </c>
      <c r="U181" s="306">
        <v>2607.4872</v>
      </c>
      <c r="V181" s="384">
        <v>3.7361234000204045E-2</v>
      </c>
      <c r="W181" s="387">
        <v>859028</v>
      </c>
      <c r="X181" s="398">
        <f>$J$195*V181 * (1+KTDB_발생량도착량_증가율!$D$12*5) * (1+KTDB_발생량도착량_증가율!$E$12*5) * (1+KTDB_발생량도착량_증가율!$F$12*5)</f>
        <v>76.728767263678165</v>
      </c>
      <c r="AB181" s="101" t="s">
        <v>141</v>
      </c>
      <c r="AC181" s="101" t="s">
        <v>818</v>
      </c>
      <c r="AD181" s="101">
        <v>2607.4872</v>
      </c>
      <c r="AE181" s="392">
        <v>3.7361234000204045E-2</v>
      </c>
      <c r="AF181" s="393">
        <v>859028</v>
      </c>
      <c r="AG181" s="398">
        <f>X181*$W$166</f>
        <v>62.917589156216088</v>
      </c>
    </row>
    <row r="182" spans="2:36" ht="32">
      <c r="B182" s="23" t="s">
        <v>57</v>
      </c>
      <c r="C182" s="9">
        <v>60</v>
      </c>
      <c r="D182" s="9">
        <v>60</v>
      </c>
      <c r="E182" s="9">
        <v>33</v>
      </c>
      <c r="F182" s="9">
        <v>33</v>
      </c>
      <c r="G182" s="9">
        <v>65</v>
      </c>
      <c r="H182" s="9">
        <v>65</v>
      </c>
      <c r="I182" s="9">
        <v>158</v>
      </c>
      <c r="J182" s="9">
        <v>158</v>
      </c>
      <c r="K182" s="10">
        <v>316</v>
      </c>
      <c r="L182" s="10">
        <v>316</v>
      </c>
      <c r="S182" s="306" t="s">
        <v>819</v>
      </c>
      <c r="T182" s="306" t="s">
        <v>103</v>
      </c>
      <c r="U182" s="306">
        <v>15824.4439</v>
      </c>
      <c r="V182" s="384">
        <v>0.22673965627559034</v>
      </c>
      <c r="W182" s="387">
        <v>859029</v>
      </c>
      <c r="X182" s="398">
        <f>$J$195*V182 * (1+KTDB_발생량도착량_증가율!$D$12*5) * (1+KTDB_발생량도착량_증가율!$E$12*5) * (1+KTDB_발생량도착량_증가율!$F$12*5)</f>
        <v>465.65523814660787</v>
      </c>
      <c r="AB182" s="101" t="s">
        <v>819</v>
      </c>
      <c r="AC182" s="101" t="s">
        <v>103</v>
      </c>
      <c r="AD182" s="101">
        <v>15824.4439</v>
      </c>
      <c r="AE182" s="392">
        <v>0.22673965627559034</v>
      </c>
      <c r="AF182" s="393">
        <v>859029</v>
      </c>
      <c r="AG182" s="398">
        <f t="shared" ref="AG182:AG186" si="69">X182*$W$166</f>
        <v>381.83729528021843</v>
      </c>
    </row>
    <row r="183" spans="2:36" ht="32">
      <c r="B183" s="23" t="s">
        <v>58</v>
      </c>
      <c r="C183" s="9">
        <v>103</v>
      </c>
      <c r="D183" s="9">
        <v>103</v>
      </c>
      <c r="E183" s="9">
        <v>56</v>
      </c>
      <c r="F183" s="9">
        <v>56</v>
      </c>
      <c r="G183" s="9">
        <v>112</v>
      </c>
      <c r="H183" s="9">
        <v>112</v>
      </c>
      <c r="I183" s="9">
        <v>271</v>
      </c>
      <c r="J183" s="9">
        <v>271</v>
      </c>
      <c r="K183" s="10">
        <v>542</v>
      </c>
      <c r="L183" s="10">
        <v>542</v>
      </c>
      <c r="S183" s="306" t="s">
        <v>819</v>
      </c>
      <c r="T183" s="306" t="s">
        <v>104</v>
      </c>
      <c r="U183" s="306">
        <v>11511.7454</v>
      </c>
      <c r="V183" s="384">
        <v>0.16494539786817458</v>
      </c>
      <c r="W183" s="387">
        <v>859030</v>
      </c>
      <c r="X183" s="398">
        <f>$J$195*V183 * (1+KTDB_발생량도착량_증가율!$D$12*5) * (1+KTDB_발생량도착량_증가율!$E$12*5) * (1+KTDB_발생량도착량_증가율!$F$12*5)</f>
        <v>338.74836800553334</v>
      </c>
      <c r="AB183" s="101" t="s">
        <v>819</v>
      </c>
      <c r="AC183" s="101" t="s">
        <v>104</v>
      </c>
      <c r="AD183" s="101">
        <v>11511.7454</v>
      </c>
      <c r="AE183" s="392">
        <v>0.16494539786817458</v>
      </c>
      <c r="AF183" s="393">
        <v>859030</v>
      </c>
      <c r="AG183" s="398">
        <f t="shared" si="69"/>
        <v>277.77366176453734</v>
      </c>
    </row>
    <row r="184" spans="2:36" ht="32">
      <c r="B184" s="23" t="s">
        <v>59</v>
      </c>
      <c r="C184" s="9">
        <v>94</v>
      </c>
      <c r="D184" s="9">
        <v>94</v>
      </c>
      <c r="E184" s="9">
        <v>52</v>
      </c>
      <c r="F184" s="9">
        <v>52</v>
      </c>
      <c r="G184" s="9">
        <v>103</v>
      </c>
      <c r="H184" s="9">
        <v>103</v>
      </c>
      <c r="I184" s="9">
        <v>249</v>
      </c>
      <c r="J184" s="9">
        <v>249</v>
      </c>
      <c r="K184" s="10">
        <v>498</v>
      </c>
      <c r="L184" s="10">
        <v>498</v>
      </c>
      <c r="S184" s="306" t="s">
        <v>819</v>
      </c>
      <c r="T184" s="306" t="s">
        <v>117</v>
      </c>
      <c r="U184" s="306">
        <v>4659.9287999999997</v>
      </c>
      <c r="V184" s="384">
        <v>6.6769528272694875E-2</v>
      </c>
      <c r="W184" s="387">
        <v>859031</v>
      </c>
      <c r="X184" s="398">
        <f>$J$195*V184 * (1+KTDB_발생량도착량_증가율!$D$12*5) * (1+KTDB_발생량도착량_증가율!$E$12*5) * (1+KTDB_발생량도착량_증가율!$F$12*5)</f>
        <v>137.12458199622651</v>
      </c>
      <c r="AB184" s="101" t="s">
        <v>819</v>
      </c>
      <c r="AC184" s="101" t="s">
        <v>117</v>
      </c>
      <c r="AD184" s="101">
        <v>4659.9287999999997</v>
      </c>
      <c r="AE184" s="392">
        <v>6.6769528272694875E-2</v>
      </c>
      <c r="AF184" s="393">
        <v>859031</v>
      </c>
      <c r="AG184" s="398">
        <f t="shared" si="69"/>
        <v>112.44215723690573</v>
      </c>
    </row>
    <row r="185" spans="2:36" ht="32">
      <c r="B185" s="23" t="s">
        <v>60</v>
      </c>
      <c r="C185" s="9">
        <v>26</v>
      </c>
      <c r="D185" s="9">
        <v>26</v>
      </c>
      <c r="E185" s="9">
        <v>14</v>
      </c>
      <c r="F185" s="9">
        <v>14</v>
      </c>
      <c r="G185" s="9">
        <v>28</v>
      </c>
      <c r="H185" s="9">
        <v>28</v>
      </c>
      <c r="I185" s="9">
        <v>68</v>
      </c>
      <c r="J185" s="9">
        <v>68</v>
      </c>
      <c r="K185" s="10">
        <v>136</v>
      </c>
      <c r="L185" s="10">
        <v>136</v>
      </c>
      <c r="S185" s="306" t="s">
        <v>819</v>
      </c>
      <c r="T185" s="306" t="s">
        <v>118</v>
      </c>
      <c r="U185" s="306">
        <v>23055.857</v>
      </c>
      <c r="V185" s="384">
        <v>0.33035455301649896</v>
      </c>
      <c r="W185" s="387">
        <v>859032</v>
      </c>
      <c r="X185" s="398">
        <f>$J$195*V185 * (1+KTDB_발생량도착량_증가율!$D$12*5) * (1+KTDB_발생량도착량_증가율!$E$12*5) * (1+KTDB_발생량도착량_증가율!$F$12*5)</f>
        <v>678.44915434969164</v>
      </c>
      <c r="AB185" s="101" t="s">
        <v>819</v>
      </c>
      <c r="AC185" s="101" t="s">
        <v>118</v>
      </c>
      <c r="AD185" s="101">
        <v>23055.857</v>
      </c>
      <c r="AE185" s="392">
        <v>0.33035455301649896</v>
      </c>
      <c r="AF185" s="393">
        <v>859032</v>
      </c>
      <c r="AG185" s="398">
        <f t="shared" si="69"/>
        <v>556.32830656674707</v>
      </c>
    </row>
    <row r="186" spans="2:36" ht="32.5" thickBot="1">
      <c r="B186" s="23" t="s">
        <v>61</v>
      </c>
      <c r="C186" s="9">
        <v>69</v>
      </c>
      <c r="D186" s="9">
        <v>69</v>
      </c>
      <c r="E186" s="9">
        <v>38</v>
      </c>
      <c r="F186" s="9">
        <v>38</v>
      </c>
      <c r="G186" s="9">
        <v>74</v>
      </c>
      <c r="H186" s="9">
        <v>74</v>
      </c>
      <c r="I186" s="9">
        <v>181</v>
      </c>
      <c r="J186" s="9">
        <v>181</v>
      </c>
      <c r="K186" s="10">
        <v>362</v>
      </c>
      <c r="L186" s="10">
        <v>362</v>
      </c>
      <c r="S186" s="306" t="s">
        <v>819</v>
      </c>
      <c r="T186" s="306" t="s">
        <v>119</v>
      </c>
      <c r="U186" s="306">
        <v>12131.7871</v>
      </c>
      <c r="V186" s="384">
        <v>0.17382963056683723</v>
      </c>
      <c r="W186" s="388">
        <v>859033</v>
      </c>
      <c r="X186" s="399">
        <f>$J$195*V186 * (1+KTDB_발생량도착량_증가율!$D$12*5) * (1+KTDB_발생량도착량_증가율!$E$12*5) * (1+KTDB_발생량도착량_증가율!$F$12*5)</f>
        <v>356.9939169359655</v>
      </c>
      <c r="AB186" s="101" t="s">
        <v>819</v>
      </c>
      <c r="AC186" s="101" t="s">
        <v>119</v>
      </c>
      <c r="AD186" s="101">
        <v>12131.7871</v>
      </c>
      <c r="AE186" s="392">
        <v>0.17382963056683723</v>
      </c>
      <c r="AF186" s="394">
        <v>859033</v>
      </c>
      <c r="AG186" s="399">
        <f t="shared" si="69"/>
        <v>292.73501188749168</v>
      </c>
    </row>
    <row r="187" spans="2:36" ht="32">
      <c r="B187" s="23" t="s">
        <v>62</v>
      </c>
      <c r="C187" s="9">
        <v>60</v>
      </c>
      <c r="D187" s="9">
        <v>60</v>
      </c>
      <c r="E187" s="9">
        <v>33</v>
      </c>
      <c r="F187" s="9">
        <v>33</v>
      </c>
      <c r="G187" s="9">
        <v>65</v>
      </c>
      <c r="H187" s="9">
        <v>65</v>
      </c>
      <c r="I187" s="9">
        <v>158</v>
      </c>
      <c r="J187" s="9">
        <v>158</v>
      </c>
      <c r="K187" s="10">
        <v>316</v>
      </c>
      <c r="L187" s="10">
        <v>316</v>
      </c>
      <c r="U187" s="382">
        <f>SUM(U181:U186)</f>
        <v>69791.249400000001</v>
      </c>
      <c r="V187" s="382">
        <f>SUM(V181:V186)</f>
        <v>1</v>
      </c>
      <c r="X187">
        <f>SUM(X181:X186)</f>
        <v>2053.7000266977029</v>
      </c>
      <c r="AG187">
        <f>SUM(AG181:AG186)</f>
        <v>1684.0340218921162</v>
      </c>
    </row>
    <row r="188" spans="2:36" ht="32">
      <c r="B188" s="23" t="s">
        <v>63</v>
      </c>
      <c r="C188" s="9">
        <v>69</v>
      </c>
      <c r="D188" s="9">
        <v>69</v>
      </c>
      <c r="E188" s="9">
        <v>38</v>
      </c>
      <c r="F188" s="9">
        <v>38</v>
      </c>
      <c r="G188" s="9">
        <v>74</v>
      </c>
      <c r="H188" s="9">
        <v>74</v>
      </c>
      <c r="I188" s="9">
        <v>181</v>
      </c>
      <c r="J188" s="9">
        <v>181</v>
      </c>
      <c r="K188" s="10">
        <v>362</v>
      </c>
      <c r="L188" s="10">
        <v>362</v>
      </c>
      <c r="P188" s="396">
        <v>2025</v>
      </c>
      <c r="Q188" s="395"/>
      <c r="R188" s="395"/>
      <c r="S188" s="395"/>
      <c r="T188" s="395"/>
      <c r="U188" s="395"/>
      <c r="V188" s="395"/>
      <c r="W188" s="395"/>
      <c r="X188" s="395"/>
      <c r="Y188" s="395"/>
      <c r="Z188" s="395"/>
      <c r="AA188" s="395"/>
      <c r="AB188" s="395"/>
      <c r="AC188" s="395"/>
      <c r="AD188" s="395"/>
      <c r="AE188" s="395"/>
      <c r="AF188" s="395"/>
      <c r="AG188" s="395"/>
      <c r="AH188" s="395"/>
      <c r="AI188" s="395"/>
      <c r="AJ188" s="395"/>
    </row>
    <row r="189" spans="2:36" ht="32.5" thickBot="1">
      <c r="B189" s="23" t="s">
        <v>64</v>
      </c>
      <c r="C189" s="9">
        <v>77</v>
      </c>
      <c r="D189" s="9">
        <v>77</v>
      </c>
      <c r="E189" s="9">
        <v>42</v>
      </c>
      <c r="F189" s="9">
        <v>42</v>
      </c>
      <c r="G189" s="9">
        <v>84</v>
      </c>
      <c r="H189" s="9">
        <v>84</v>
      </c>
      <c r="I189" s="9">
        <v>203</v>
      </c>
      <c r="J189" s="9">
        <v>203</v>
      </c>
      <c r="K189" s="10">
        <v>406</v>
      </c>
      <c r="L189" s="10">
        <v>406</v>
      </c>
      <c r="Q189" s="353" t="s">
        <v>823</v>
      </c>
    </row>
    <row r="190" spans="2:36" ht="32">
      <c r="B190" s="23" t="s">
        <v>65</v>
      </c>
      <c r="C190" s="9">
        <v>77</v>
      </c>
      <c r="D190" s="9">
        <v>77</v>
      </c>
      <c r="E190" s="9">
        <v>42</v>
      </c>
      <c r="F190" s="9">
        <v>42</v>
      </c>
      <c r="G190" s="9">
        <v>84</v>
      </c>
      <c r="H190" s="9">
        <v>84</v>
      </c>
      <c r="I190" s="9">
        <v>203</v>
      </c>
      <c r="J190" s="9">
        <v>203</v>
      </c>
      <c r="K190" s="10">
        <v>406</v>
      </c>
      <c r="L190" s="10">
        <v>406</v>
      </c>
      <c r="S190" s="306" t="s">
        <v>564</v>
      </c>
      <c r="T190" s="306" t="s">
        <v>565</v>
      </c>
      <c r="U190" s="306" t="s">
        <v>566</v>
      </c>
      <c r="V190" s="383" t="s">
        <v>562</v>
      </c>
      <c r="W190" s="385" t="s">
        <v>597</v>
      </c>
      <c r="X190" s="386" t="s">
        <v>821</v>
      </c>
      <c r="AB190" s="101" t="s">
        <v>564</v>
      </c>
      <c r="AC190" s="101" t="s">
        <v>565</v>
      </c>
      <c r="AD190" s="101" t="s">
        <v>566</v>
      </c>
      <c r="AE190" s="389" t="s">
        <v>562</v>
      </c>
      <c r="AF190" s="390" t="s">
        <v>597</v>
      </c>
      <c r="AG190" s="391" t="s">
        <v>821</v>
      </c>
    </row>
    <row r="191" spans="2:36" ht="32">
      <c r="B191" s="23" t="s">
        <v>66</v>
      </c>
      <c r="C191" s="9">
        <v>43</v>
      </c>
      <c r="D191" s="9">
        <v>43</v>
      </c>
      <c r="E191" s="9">
        <v>24</v>
      </c>
      <c r="F191" s="9">
        <v>24</v>
      </c>
      <c r="G191" s="9">
        <v>47</v>
      </c>
      <c r="H191" s="9">
        <v>47</v>
      </c>
      <c r="I191" s="9">
        <v>114</v>
      </c>
      <c r="J191" s="9">
        <v>114</v>
      </c>
      <c r="K191" s="10">
        <v>228</v>
      </c>
      <c r="L191" s="10">
        <v>228</v>
      </c>
      <c r="S191" s="306" t="s">
        <v>141</v>
      </c>
      <c r="T191" s="306" t="s">
        <v>818</v>
      </c>
      <c r="U191" s="306">
        <v>2607.4872</v>
      </c>
      <c r="V191" s="384">
        <v>3.7361234000204045E-2</v>
      </c>
      <c r="W191" s="387">
        <v>859028</v>
      </c>
      <c r="X191" s="398">
        <f>$I$195*V191 *(1+KTDB_발생량도착량_증가율!$D$13*5) * (1+KTDB_발생량도착량_증가율!$E$12*5) * (1+KTDB_발생량도착량_증가율!$F$12*5)</f>
        <v>76.737751813368916</v>
      </c>
      <c r="AB191" s="101" t="s">
        <v>141</v>
      </c>
      <c r="AC191" s="101" t="s">
        <v>818</v>
      </c>
      <c r="AD191" s="101">
        <v>2607.4872</v>
      </c>
      <c r="AE191" s="392">
        <v>3.7361234000204045E-2</v>
      </c>
      <c r="AF191" s="393">
        <v>859028</v>
      </c>
      <c r="AG191" s="398">
        <f t="shared" ref="AG191:AG196" si="70">X191*$W$166</f>
        <v>62.924956486962508</v>
      </c>
    </row>
    <row r="192" spans="2:36" ht="32">
      <c r="B192" s="23" t="s">
        <v>67</v>
      </c>
      <c r="C192" s="9">
        <v>9</v>
      </c>
      <c r="D192" s="9">
        <v>9</v>
      </c>
      <c r="E192" s="9">
        <v>5</v>
      </c>
      <c r="F192" s="9">
        <v>5</v>
      </c>
      <c r="G192" s="9">
        <v>10</v>
      </c>
      <c r="H192" s="9">
        <v>10</v>
      </c>
      <c r="I192" s="9">
        <v>24</v>
      </c>
      <c r="J192" s="9">
        <v>24</v>
      </c>
      <c r="K192" s="10">
        <v>48</v>
      </c>
      <c r="L192" s="10">
        <v>48</v>
      </c>
      <c r="S192" s="306" t="s">
        <v>819</v>
      </c>
      <c r="T192" s="306" t="s">
        <v>103</v>
      </c>
      <c r="U192" s="306">
        <v>15824.4439</v>
      </c>
      <c r="V192" s="384">
        <v>0.22673965627559034</v>
      </c>
      <c r="W192" s="387">
        <v>859029</v>
      </c>
      <c r="X192" s="398">
        <f>$I$195*V192 *(1+KTDB_발생량도착량_증가율!$D$13*5) * (1+KTDB_발생량도착량_증가율!$E$12*5) * (1+KTDB_발생량도착량_증가율!$F$12*5)</f>
        <v>465.70976401448087</v>
      </c>
      <c r="AB192" s="101" t="s">
        <v>819</v>
      </c>
      <c r="AC192" s="101" t="s">
        <v>103</v>
      </c>
      <c r="AD192" s="101">
        <v>15824.4439</v>
      </c>
      <c r="AE192" s="392">
        <v>0.22673965627559034</v>
      </c>
      <c r="AF192" s="393">
        <v>859029</v>
      </c>
      <c r="AG192" s="398">
        <f t="shared" si="70"/>
        <v>381.88200649187428</v>
      </c>
    </row>
    <row r="193" spans="2:33" ht="32">
      <c r="B193" s="23" t="s">
        <v>68</v>
      </c>
      <c r="C193" s="9">
        <v>1</v>
      </c>
      <c r="D193" s="9">
        <v>1</v>
      </c>
      <c r="E193" s="9">
        <v>1</v>
      </c>
      <c r="F193" s="9">
        <v>1</v>
      </c>
      <c r="G193" s="9">
        <v>1</v>
      </c>
      <c r="H193" s="9">
        <v>1</v>
      </c>
      <c r="I193" s="9">
        <v>3</v>
      </c>
      <c r="J193" s="9">
        <v>3</v>
      </c>
      <c r="K193" s="10">
        <v>6</v>
      </c>
      <c r="L193" s="10">
        <v>6</v>
      </c>
      <c r="S193" s="306" t="s">
        <v>819</v>
      </c>
      <c r="T193" s="306" t="s">
        <v>104</v>
      </c>
      <c r="U193" s="306">
        <v>11511.7454</v>
      </c>
      <c r="V193" s="384">
        <v>0.16494539786817458</v>
      </c>
      <c r="W193" s="387">
        <v>859030</v>
      </c>
      <c r="X193" s="398">
        <f>$I$195*V193 *(1+KTDB_발생량도착량_증가율!$D$13*5) * (1+KTDB_발생량도착량_증가율!$E$12*5) * (1+KTDB_발생량도착량_증가율!$F$12*5)</f>
        <v>338.78803372223314</v>
      </c>
      <c r="AB193" s="101" t="s">
        <v>819</v>
      </c>
      <c r="AC193" s="101" t="s">
        <v>104</v>
      </c>
      <c r="AD193" s="101">
        <v>11511.7454</v>
      </c>
      <c r="AE193" s="392">
        <v>0.16494539786817458</v>
      </c>
      <c r="AF193" s="393">
        <v>859030</v>
      </c>
      <c r="AG193" s="398">
        <f t="shared" si="70"/>
        <v>277.80618765223113</v>
      </c>
    </row>
    <row r="194" spans="2:33">
      <c r="B194" s="23" t="s">
        <v>42</v>
      </c>
      <c r="C194" s="9">
        <v>1</v>
      </c>
      <c r="D194" s="9">
        <v>1</v>
      </c>
      <c r="E194" s="9">
        <v>0</v>
      </c>
      <c r="F194" s="9">
        <v>0</v>
      </c>
      <c r="G194" s="9">
        <v>1</v>
      </c>
      <c r="H194" s="9">
        <v>1</v>
      </c>
      <c r="I194" s="9">
        <v>2</v>
      </c>
      <c r="J194" s="9">
        <v>2</v>
      </c>
      <c r="K194" s="10">
        <v>4</v>
      </c>
      <c r="L194" s="10">
        <v>4</v>
      </c>
      <c r="S194" s="306" t="s">
        <v>819</v>
      </c>
      <c r="T194" s="306" t="s">
        <v>117</v>
      </c>
      <c r="U194" s="306">
        <v>4659.9287999999997</v>
      </c>
      <c r="V194" s="384">
        <v>6.6769528272694875E-2</v>
      </c>
      <c r="W194" s="387">
        <v>859031</v>
      </c>
      <c r="X194" s="398">
        <f>$I$195*V194 *(1+KTDB_발생량도착량_증가율!$D$13*5) * (1+KTDB_발생량도착량_증가율!$E$12*5) * (1+KTDB_발생량도착량_증가율!$F$12*5)</f>
        <v>137.14063858966207</v>
      </c>
      <c r="AB194" s="101" t="s">
        <v>819</v>
      </c>
      <c r="AC194" s="101" t="s">
        <v>117</v>
      </c>
      <c r="AD194" s="101">
        <v>4659.9287999999997</v>
      </c>
      <c r="AE194" s="392">
        <v>6.6769528272694875E-2</v>
      </c>
      <c r="AF194" s="393">
        <v>859031</v>
      </c>
      <c r="AG194" s="398">
        <f t="shared" si="70"/>
        <v>112.45532364352289</v>
      </c>
    </row>
    <row r="195" spans="2:33" ht="17.5" thickBot="1">
      <c r="B195" s="24" t="s">
        <v>11</v>
      </c>
      <c r="C195" s="16">
        <v>738</v>
      </c>
      <c r="D195" s="16">
        <v>738</v>
      </c>
      <c r="E195" s="16">
        <v>404</v>
      </c>
      <c r="F195" s="16">
        <v>404</v>
      </c>
      <c r="G195" s="16">
        <v>800</v>
      </c>
      <c r="H195" s="16">
        <v>800</v>
      </c>
      <c r="I195" s="379">
        <v>1942</v>
      </c>
      <c r="J195" s="379">
        <v>1942</v>
      </c>
      <c r="K195" s="380">
        <v>3884</v>
      </c>
      <c r="L195" s="380">
        <v>3884</v>
      </c>
      <c r="S195" s="306" t="s">
        <v>819</v>
      </c>
      <c r="T195" s="306" t="s">
        <v>118</v>
      </c>
      <c r="U195" s="306">
        <v>23055.857</v>
      </c>
      <c r="V195" s="384">
        <v>0.33035455301649896</v>
      </c>
      <c r="W195" s="387">
        <v>859032</v>
      </c>
      <c r="X195" s="398">
        <f>$I$195*V195 *(1+KTDB_발생량도착량_증가율!$D$13*5) * (1+KTDB_발생량도착량_증가율!$E$12*5) * (1+KTDB_발생량도착량_증가율!$F$12*5)</f>
        <v>678.52859730645059</v>
      </c>
      <c r="AB195" s="101" t="s">
        <v>819</v>
      </c>
      <c r="AC195" s="101" t="s">
        <v>118</v>
      </c>
      <c r="AD195" s="101">
        <v>23055.857</v>
      </c>
      <c r="AE195" s="392">
        <v>0.33035455301649896</v>
      </c>
      <c r="AF195" s="393">
        <v>859032</v>
      </c>
      <c r="AG195" s="398">
        <f t="shared" si="70"/>
        <v>556.39344979128941</v>
      </c>
    </row>
    <row r="196" spans="2:33" ht="18" thickTop="1" thickBot="1">
      <c r="S196" s="306" t="s">
        <v>819</v>
      </c>
      <c r="T196" s="306" t="s">
        <v>119</v>
      </c>
      <c r="U196" s="306">
        <v>12131.7871</v>
      </c>
      <c r="V196" s="384">
        <v>0.17382963056683723</v>
      </c>
      <c r="W196" s="388">
        <v>859033</v>
      </c>
      <c r="X196" s="399">
        <f>$I$195*V196 *(1+KTDB_발생량도착량_증가율!$D$13*5) * (1+KTDB_발생량도착량_증가율!$E$12*5) * (1+KTDB_발생량도착량_증가율!$F$12*5)</f>
        <v>357.03571911395403</v>
      </c>
      <c r="AB196" s="101" t="s">
        <v>819</v>
      </c>
      <c r="AC196" s="101" t="s">
        <v>119</v>
      </c>
      <c r="AD196" s="101">
        <v>12131.7871</v>
      </c>
      <c r="AE196" s="392">
        <v>0.17382963056683723</v>
      </c>
      <c r="AF196" s="394">
        <v>859033</v>
      </c>
      <c r="AG196" s="399">
        <f t="shared" si="70"/>
        <v>292.7692896734423</v>
      </c>
    </row>
    <row r="197" spans="2:33">
      <c r="X197">
        <f>SUM(X191:X196)</f>
        <v>2053.9405045601497</v>
      </c>
      <c r="AG197">
        <f>SUM(AG191:AG196)</f>
        <v>1684.2312137393226</v>
      </c>
    </row>
    <row r="264" spans="1:20" ht="23">
      <c r="A264" s="32"/>
      <c r="B264" s="99" t="s">
        <v>272</v>
      </c>
      <c r="I264" t="s">
        <v>245</v>
      </c>
      <c r="L264" s="99" t="s">
        <v>278</v>
      </c>
      <c r="S264" t="s">
        <v>245</v>
      </c>
    </row>
    <row r="265" spans="1:20">
      <c r="B265" s="594" t="s">
        <v>268</v>
      </c>
      <c r="C265" s="594"/>
      <c r="D265" s="100"/>
      <c r="E265" s="100" t="s">
        <v>261</v>
      </c>
      <c r="F265" s="100" t="s">
        <v>262</v>
      </c>
      <c r="G265" s="100" t="s">
        <v>263</v>
      </c>
      <c r="H265" s="100" t="s">
        <v>264</v>
      </c>
      <c r="I265" s="100" t="s">
        <v>265</v>
      </c>
      <c r="J265" s="100"/>
      <c r="L265" s="594" t="s">
        <v>271</v>
      </c>
      <c r="M265" s="594"/>
      <c r="N265" s="100"/>
      <c r="O265" s="100" t="s">
        <v>261</v>
      </c>
      <c r="P265" s="100" t="s">
        <v>262</v>
      </c>
      <c r="Q265" s="100" t="s">
        <v>263</v>
      </c>
      <c r="R265" s="100" t="s">
        <v>264</v>
      </c>
      <c r="S265" s="100" t="s">
        <v>265</v>
      </c>
      <c r="T265" s="100"/>
    </row>
    <row r="266" spans="1:20">
      <c r="B266" s="575" t="s">
        <v>135</v>
      </c>
      <c r="C266" s="575"/>
      <c r="D266" s="98"/>
      <c r="E266" s="581" t="s">
        <v>273</v>
      </c>
      <c r="F266" s="582"/>
      <c r="G266" s="582"/>
      <c r="H266" s="582"/>
      <c r="I266" s="583"/>
      <c r="J266" s="98"/>
      <c r="L266" s="575" t="s">
        <v>135</v>
      </c>
      <c r="M266" s="575"/>
      <c r="N266" s="98"/>
      <c r="O266" s="581" t="s">
        <v>273</v>
      </c>
      <c r="P266" s="582"/>
      <c r="Q266" s="582"/>
      <c r="R266" s="583"/>
      <c r="S266" s="98"/>
      <c r="T266" s="98"/>
    </row>
    <row r="267" spans="1:20">
      <c r="B267" s="575"/>
      <c r="C267" s="575"/>
      <c r="D267" s="98"/>
      <c r="E267" s="584"/>
      <c r="F267" s="585"/>
      <c r="G267" s="585"/>
      <c r="H267" s="585"/>
      <c r="I267" s="586"/>
      <c r="J267" s="98"/>
      <c r="L267" s="575"/>
      <c r="M267" s="575"/>
      <c r="N267" s="98"/>
      <c r="O267" s="584"/>
      <c r="P267" s="585"/>
      <c r="Q267" s="585"/>
      <c r="R267" s="586"/>
      <c r="S267" s="98"/>
      <c r="T267" s="98"/>
    </row>
    <row r="268" spans="1:20">
      <c r="B268" s="575" t="s">
        <v>136</v>
      </c>
      <c r="C268" s="575"/>
      <c r="D268" s="98" t="s">
        <v>36</v>
      </c>
      <c r="E268" s="101">
        <f>$N$29*U11</f>
        <v>36.155999999999999</v>
      </c>
      <c r="F268" s="101">
        <f>$N$29*V11</f>
        <v>10.35</v>
      </c>
      <c r="G268" s="101">
        <f>$N$29*W11</f>
        <v>82.524000000000001</v>
      </c>
      <c r="H268" s="101">
        <f>$N$29*X11</f>
        <v>8.9700000000000006</v>
      </c>
      <c r="I268" s="101">
        <f>SUM(E268:H268)</f>
        <v>138</v>
      </c>
      <c r="J268" s="98" t="b">
        <f>I268=N29</f>
        <v>1</v>
      </c>
      <c r="L268" s="575" t="s">
        <v>136</v>
      </c>
      <c r="M268" s="575"/>
      <c r="N268" s="98" t="s">
        <v>36</v>
      </c>
      <c r="O268" s="101">
        <f>$Q$29*U11</f>
        <v>35.370000000000005</v>
      </c>
      <c r="P268" s="101">
        <f>$Q$29*V11</f>
        <v>10.125</v>
      </c>
      <c r="Q268" s="101">
        <f>$Q$29*W11</f>
        <v>80.72999999999999</v>
      </c>
      <c r="R268" s="101">
        <f>$Q$29*X11</f>
        <v>8.7750000000000004</v>
      </c>
      <c r="S268" s="101">
        <f>SUM(O268:R268)</f>
        <v>135</v>
      </c>
      <c r="T268" s="98" t="b">
        <f>S268=Q29</f>
        <v>1</v>
      </c>
    </row>
    <row r="269" spans="1:20">
      <c r="B269" s="575"/>
      <c r="C269" s="575"/>
      <c r="D269" s="98" t="s">
        <v>37</v>
      </c>
      <c r="E269" s="101">
        <f>$O$29*U12</f>
        <v>0</v>
      </c>
      <c r="F269" s="101">
        <f>$O$29*V12</f>
        <v>0</v>
      </c>
      <c r="G269" s="101">
        <f>$O$29*W12</f>
        <v>0</v>
      </c>
      <c r="H269" s="101">
        <f>$O$29*X12</f>
        <v>0</v>
      </c>
      <c r="I269" s="101">
        <f>SUM(E269:H269)</f>
        <v>0</v>
      </c>
      <c r="J269" s="98" t="b">
        <f>I269=O29</f>
        <v>1</v>
      </c>
      <c r="L269" s="575"/>
      <c r="M269" s="575"/>
      <c r="N269" s="98" t="s">
        <v>37</v>
      </c>
      <c r="O269" s="101">
        <f>$R$29*U12</f>
        <v>0</v>
      </c>
      <c r="P269" s="101">
        <f>$R$29*V12</f>
        <v>0</v>
      </c>
      <c r="Q269" s="101">
        <f>$R$29*W12</f>
        <v>0</v>
      </c>
      <c r="R269" s="101">
        <f>$R$29*X12</f>
        <v>0</v>
      </c>
      <c r="S269" s="101">
        <f>SUM(O269:R269)</f>
        <v>0</v>
      </c>
      <c r="T269" s="98" t="b">
        <f>S269=R29</f>
        <v>1</v>
      </c>
    </row>
    <row r="270" spans="1:20">
      <c r="B270" s="575" t="s">
        <v>137</v>
      </c>
      <c r="C270" s="575"/>
      <c r="D270" s="98" t="s">
        <v>36</v>
      </c>
      <c r="E270" s="101">
        <f>$N$30*U15</f>
        <v>312.512</v>
      </c>
      <c r="F270" s="101">
        <f>$N$30*V15</f>
        <v>74.015999999999991</v>
      </c>
      <c r="G270" s="101">
        <f>$N$30*W15</f>
        <v>425.59199999999998</v>
      </c>
      <c r="H270" s="101">
        <f>$N$30*X15</f>
        <v>215.88</v>
      </c>
      <c r="I270" s="101">
        <f t="shared" ref="I270:I287" si="71">SUM(E270:H270)</f>
        <v>1028</v>
      </c>
      <c r="J270" s="98" t="b">
        <f>I270=N30</f>
        <v>1</v>
      </c>
      <c r="L270" s="575" t="s">
        <v>137</v>
      </c>
      <c r="M270" s="575"/>
      <c r="N270" s="98" t="s">
        <v>36</v>
      </c>
      <c r="O270" s="101">
        <f>$Q$30*U15</f>
        <v>307.34399999999999</v>
      </c>
      <c r="P270" s="101">
        <f>$Q$30*V15</f>
        <v>72.792000000000002</v>
      </c>
      <c r="Q270" s="101">
        <f>$Q$30*W15</f>
        <v>418.55399999999997</v>
      </c>
      <c r="R270" s="101">
        <f>$Q$30*X15</f>
        <v>212.31</v>
      </c>
      <c r="S270" s="101">
        <f t="shared" ref="S270:S287" si="72">SUM(O270:R270)</f>
        <v>1011</v>
      </c>
      <c r="T270" s="98" t="b">
        <f>S270=Q30</f>
        <v>1</v>
      </c>
    </row>
    <row r="271" spans="1:20">
      <c r="B271" s="575"/>
      <c r="C271" s="575"/>
      <c r="D271" s="98" t="s">
        <v>37</v>
      </c>
      <c r="E271" s="101">
        <f>$O$30*U16</f>
        <v>0</v>
      </c>
      <c r="F271" s="101">
        <f>$O$30*V16</f>
        <v>0</v>
      </c>
      <c r="G271" s="101">
        <f>$O$30*W16</f>
        <v>0</v>
      </c>
      <c r="H271" s="101">
        <f>$O$30*X16</f>
        <v>0</v>
      </c>
      <c r="I271" s="101">
        <f t="shared" si="71"/>
        <v>0</v>
      </c>
      <c r="J271" s="98" t="b">
        <f>I271=O30</f>
        <v>1</v>
      </c>
      <c r="L271" s="575"/>
      <c r="M271" s="575"/>
      <c r="N271" s="98" t="s">
        <v>37</v>
      </c>
      <c r="O271" s="101">
        <f>$R$30*U16</f>
        <v>0</v>
      </c>
      <c r="P271" s="101">
        <f>$R$30*V16</f>
        <v>0</v>
      </c>
      <c r="Q271" s="101">
        <f>$R$30*W16</f>
        <v>0</v>
      </c>
      <c r="R271" s="101">
        <f>$R$30*X16</f>
        <v>0</v>
      </c>
      <c r="S271" s="101">
        <f t="shared" si="72"/>
        <v>0</v>
      </c>
      <c r="T271" s="98" t="b">
        <f>S271=R30</f>
        <v>1</v>
      </c>
    </row>
    <row r="272" spans="1:20">
      <c r="B272" s="575" t="s">
        <v>139</v>
      </c>
      <c r="C272" s="575"/>
      <c r="D272" s="98" t="s">
        <v>36</v>
      </c>
      <c r="E272" s="101">
        <f>$N$31*U13</f>
        <v>11167.695</v>
      </c>
      <c r="F272" s="101">
        <f>$N$31*V13</f>
        <v>1479.357</v>
      </c>
      <c r="G272" s="101">
        <f>$N$31*W13</f>
        <v>10094.436</v>
      </c>
      <c r="H272" s="101">
        <f>$N$31*X13</f>
        <v>6265.5119999999997</v>
      </c>
      <c r="I272" s="101">
        <f t="shared" si="71"/>
        <v>29006.999999999996</v>
      </c>
      <c r="J272" s="98" t="b">
        <f>I272=N31</f>
        <v>1</v>
      </c>
      <c r="L272" s="575" t="s">
        <v>139</v>
      </c>
      <c r="M272" s="575"/>
      <c r="N272" s="98" t="s">
        <v>36</v>
      </c>
      <c r="O272" s="101">
        <f>$Q$31*U13</f>
        <v>10984.82</v>
      </c>
      <c r="P272" s="101">
        <f>$Q$31*V13</f>
        <v>1455.1319999999998</v>
      </c>
      <c r="Q272" s="101">
        <f>$Q$31*W13</f>
        <v>9929.1359999999986</v>
      </c>
      <c r="R272" s="101">
        <f>$Q$31*X13</f>
        <v>6162.9120000000003</v>
      </c>
      <c r="S272" s="101">
        <f t="shared" si="72"/>
        <v>28531.999999999996</v>
      </c>
      <c r="T272" s="98" t="b">
        <f>S272=Q31</f>
        <v>1</v>
      </c>
    </row>
    <row r="273" spans="2:20">
      <c r="B273" s="575"/>
      <c r="C273" s="575"/>
      <c r="D273" s="98" t="s">
        <v>37</v>
      </c>
      <c r="E273" s="101">
        <f>$O$31*U14</f>
        <v>0</v>
      </c>
      <c r="F273" s="101">
        <f>$O$31*V14</f>
        <v>0</v>
      </c>
      <c r="G273" s="101">
        <f>$O$31*W14</f>
        <v>0</v>
      </c>
      <c r="H273" s="101">
        <f>$O$31*X14</f>
        <v>0</v>
      </c>
      <c r="I273" s="101">
        <f t="shared" si="71"/>
        <v>0</v>
      </c>
      <c r="J273" s="98" t="b">
        <f>I273=O31</f>
        <v>1</v>
      </c>
      <c r="L273" s="575"/>
      <c r="M273" s="575"/>
      <c r="N273" s="98" t="s">
        <v>37</v>
      </c>
      <c r="O273" s="101">
        <f>$R$31*U14</f>
        <v>0</v>
      </c>
      <c r="P273" s="101">
        <f>$R$31*V14</f>
        <v>0</v>
      </c>
      <c r="Q273" s="101">
        <f>$R$31*W14</f>
        <v>0</v>
      </c>
      <c r="R273" s="101">
        <f>$R$31*X14</f>
        <v>0</v>
      </c>
      <c r="S273" s="101">
        <f t="shared" si="72"/>
        <v>0</v>
      </c>
      <c r="T273" s="98" t="b">
        <f>S273=R31</f>
        <v>1</v>
      </c>
    </row>
    <row r="274" spans="2:20">
      <c r="B274" s="575" t="s">
        <v>43</v>
      </c>
      <c r="C274" s="575"/>
      <c r="D274" s="98" t="s">
        <v>36</v>
      </c>
      <c r="E274" s="101">
        <f>$N$32*U13</f>
        <v>1210.44</v>
      </c>
      <c r="F274" s="101">
        <f>$N$32*V13</f>
        <v>160.34399999999999</v>
      </c>
      <c r="G274" s="101">
        <f>$N$32*W13</f>
        <v>1094.1119999999999</v>
      </c>
      <c r="H274" s="101">
        <f>$N$32*X13</f>
        <v>679.10400000000004</v>
      </c>
      <c r="I274" s="101">
        <f t="shared" si="71"/>
        <v>3144</v>
      </c>
      <c r="J274" s="98" t="b">
        <f>I274=N32</f>
        <v>1</v>
      </c>
      <c r="L274" s="575" t="s">
        <v>43</v>
      </c>
      <c r="M274" s="575"/>
      <c r="N274" s="98" t="s">
        <v>36</v>
      </c>
      <c r="O274" s="101">
        <f>$Q$32*U13</f>
        <v>1190.42</v>
      </c>
      <c r="P274" s="101">
        <f>$Q$32*V13</f>
        <v>157.69199999999998</v>
      </c>
      <c r="Q274" s="101">
        <f>$Q$32*W13</f>
        <v>1076.0159999999998</v>
      </c>
      <c r="R274" s="101">
        <f>$Q$32*X13</f>
        <v>667.87199999999996</v>
      </c>
      <c r="S274" s="101">
        <f t="shared" si="72"/>
        <v>3091.9999999999995</v>
      </c>
      <c r="T274" s="98" t="b">
        <f>S274=Q32</f>
        <v>1</v>
      </c>
    </row>
    <row r="275" spans="2:20">
      <c r="B275" s="575"/>
      <c r="C275" s="575"/>
      <c r="D275" s="98" t="s">
        <v>37</v>
      </c>
      <c r="E275" s="101">
        <f>$O$32*U14</f>
        <v>0</v>
      </c>
      <c r="F275" s="101">
        <f>$O$32*V14</f>
        <v>0</v>
      </c>
      <c r="G275" s="101">
        <f>$O$32*W14</f>
        <v>0</v>
      </c>
      <c r="H275" s="101">
        <f>$O$32*X14</f>
        <v>0</v>
      </c>
      <c r="I275" s="101">
        <f t="shared" si="71"/>
        <v>0</v>
      </c>
      <c r="J275" s="98" t="b">
        <f>I275=O32</f>
        <v>1</v>
      </c>
      <c r="L275" s="575"/>
      <c r="M275" s="575"/>
      <c r="N275" s="98" t="s">
        <v>37</v>
      </c>
      <c r="O275" s="101">
        <f>$R$32*U14</f>
        <v>0</v>
      </c>
      <c r="P275" s="101">
        <f>$R$32*V14</f>
        <v>0</v>
      </c>
      <c r="Q275" s="101">
        <f>$R$32*W14</f>
        <v>0</v>
      </c>
      <c r="R275" s="101">
        <f>$R$32*X14</f>
        <v>0</v>
      </c>
      <c r="S275" s="101">
        <f t="shared" si="72"/>
        <v>0</v>
      </c>
      <c r="T275" s="98" t="b">
        <f>S275=R32</f>
        <v>1</v>
      </c>
    </row>
    <row r="276" spans="2:20">
      <c r="B276" s="575" t="s">
        <v>141</v>
      </c>
      <c r="C276" s="575"/>
      <c r="D276" s="98" t="s">
        <v>36</v>
      </c>
      <c r="E276" s="101">
        <f>$N$33*U13</f>
        <v>1033.3399999999999</v>
      </c>
      <c r="F276" s="101">
        <f>$N$33*V13</f>
        <v>136.88399999999999</v>
      </c>
      <c r="G276" s="101">
        <f>$N$33*W13</f>
        <v>934.03199999999993</v>
      </c>
      <c r="H276" s="101">
        <f>$N$33*X13</f>
        <v>579.74400000000003</v>
      </c>
      <c r="I276" s="101">
        <f t="shared" si="71"/>
        <v>2684</v>
      </c>
      <c r="J276" s="98" t="b">
        <f>I276=N33</f>
        <v>1</v>
      </c>
      <c r="L276" s="575" t="s">
        <v>141</v>
      </c>
      <c r="M276" s="575"/>
      <c r="N276" s="98" t="s">
        <v>36</v>
      </c>
      <c r="O276" s="101">
        <f>$Q$33*U13</f>
        <v>1016.4</v>
      </c>
      <c r="P276" s="101">
        <f>$Q$33*V13</f>
        <v>134.63999999999999</v>
      </c>
      <c r="Q276" s="101">
        <f>$Q$33*W13</f>
        <v>918.71999999999991</v>
      </c>
      <c r="R276" s="101">
        <f>$Q$33*X13</f>
        <v>570.24</v>
      </c>
      <c r="S276" s="101">
        <f t="shared" si="72"/>
        <v>2640</v>
      </c>
      <c r="T276" s="98" t="b">
        <f>S276=Q33</f>
        <v>1</v>
      </c>
    </row>
    <row r="277" spans="2:20">
      <c r="B277" s="575"/>
      <c r="C277" s="575"/>
      <c r="D277" s="98" t="s">
        <v>37</v>
      </c>
      <c r="E277" s="101">
        <f>$O$33*U14</f>
        <v>0</v>
      </c>
      <c r="F277" s="101">
        <f>$O$33*V14</f>
        <v>0</v>
      </c>
      <c r="G277" s="101">
        <f>$O$33*W14</f>
        <v>0</v>
      </c>
      <c r="H277" s="101">
        <f>$O$33*X14</f>
        <v>0</v>
      </c>
      <c r="I277" s="101">
        <f t="shared" si="71"/>
        <v>0</v>
      </c>
      <c r="J277" s="98" t="b">
        <f>I277=O33</f>
        <v>1</v>
      </c>
      <c r="L277" s="575"/>
      <c r="M277" s="575"/>
      <c r="N277" s="98" t="s">
        <v>37</v>
      </c>
      <c r="O277" s="101">
        <f>$R$33*U14</f>
        <v>0</v>
      </c>
      <c r="P277" s="101">
        <f>$R$33*V14</f>
        <v>0</v>
      </c>
      <c r="Q277" s="101">
        <f>$R$33*W14</f>
        <v>0</v>
      </c>
      <c r="R277" s="101">
        <f>$R$33*X14</f>
        <v>0</v>
      </c>
      <c r="S277" s="101">
        <f t="shared" si="72"/>
        <v>0</v>
      </c>
      <c r="T277" s="98" t="b">
        <f>S277=R33</f>
        <v>1</v>
      </c>
    </row>
    <row r="278" spans="2:20">
      <c r="B278" s="575" t="s">
        <v>269</v>
      </c>
      <c r="C278" s="575" t="s">
        <v>14</v>
      </c>
      <c r="D278" s="98" t="s">
        <v>36</v>
      </c>
      <c r="E278" s="101">
        <f>$N$34*U15</f>
        <v>241.98399999999998</v>
      </c>
      <c r="F278" s="101">
        <f>$N$34*V15</f>
        <v>57.311999999999998</v>
      </c>
      <c r="G278" s="101">
        <f>$N$34*W15</f>
        <v>329.54399999999998</v>
      </c>
      <c r="H278" s="101">
        <f>$N$34*X15</f>
        <v>167.16</v>
      </c>
      <c r="I278" s="101">
        <f t="shared" si="71"/>
        <v>795.99999999999989</v>
      </c>
      <c r="J278" s="98" t="b">
        <f>I278=N34</f>
        <v>1</v>
      </c>
      <c r="L278" s="575" t="s">
        <v>269</v>
      </c>
      <c r="M278" s="575" t="s">
        <v>14</v>
      </c>
      <c r="N278" s="98" t="s">
        <v>36</v>
      </c>
      <c r="O278" s="101">
        <f>$Q$34*U15</f>
        <v>238.03199999999998</v>
      </c>
      <c r="P278" s="101">
        <f>$Q$34*V15</f>
        <v>56.375999999999998</v>
      </c>
      <c r="Q278" s="101">
        <f>$Q$34*W15</f>
        <v>324.16199999999998</v>
      </c>
      <c r="R278" s="101">
        <f>$Q$34*X15</f>
        <v>164.43</v>
      </c>
      <c r="S278" s="101">
        <f t="shared" si="72"/>
        <v>783</v>
      </c>
      <c r="T278" s="98" t="b">
        <f>S278=Q34</f>
        <v>1</v>
      </c>
    </row>
    <row r="279" spans="2:20">
      <c r="B279" s="575"/>
      <c r="C279" s="575"/>
      <c r="D279" s="98" t="s">
        <v>37</v>
      </c>
      <c r="E279" s="101">
        <f>$O$34*U16</f>
        <v>0</v>
      </c>
      <c r="F279" s="101">
        <f>$O$34*V16</f>
        <v>0</v>
      </c>
      <c r="G279" s="101">
        <f>$O$34*W16</f>
        <v>0</v>
      </c>
      <c r="H279" s="101">
        <f>$O$34*X16</f>
        <v>0</v>
      </c>
      <c r="I279" s="101">
        <f t="shared" si="71"/>
        <v>0</v>
      </c>
      <c r="J279" s="98" t="b">
        <f>I279=O34</f>
        <v>1</v>
      </c>
      <c r="L279" s="575"/>
      <c r="M279" s="575"/>
      <c r="N279" s="98" t="s">
        <v>37</v>
      </c>
      <c r="O279" s="101">
        <f>$R$34*U16</f>
        <v>0</v>
      </c>
      <c r="P279" s="101">
        <f>$R$34*V16</f>
        <v>0</v>
      </c>
      <c r="Q279" s="101">
        <f>$R$34*W16</f>
        <v>0</v>
      </c>
      <c r="R279" s="101">
        <f>$R$34*X16</f>
        <v>0</v>
      </c>
      <c r="S279" s="101">
        <f t="shared" si="72"/>
        <v>0</v>
      </c>
      <c r="T279" s="98" t="b">
        <f>S279=R34</f>
        <v>1</v>
      </c>
    </row>
    <row r="280" spans="2:20">
      <c r="B280" s="575"/>
      <c r="C280" s="575" t="s">
        <v>13</v>
      </c>
      <c r="D280" s="98" t="s">
        <v>36</v>
      </c>
      <c r="E280" s="101">
        <f>$N$35*U11</f>
        <v>160.34399999999999</v>
      </c>
      <c r="F280" s="101">
        <f>$N$35*V11</f>
        <v>45.9</v>
      </c>
      <c r="G280" s="101">
        <f>$N$35*W11</f>
        <v>365.976</v>
      </c>
      <c r="H280" s="101">
        <f>$N$35*X11</f>
        <v>39.78</v>
      </c>
      <c r="I280" s="101">
        <f t="shared" si="71"/>
        <v>612</v>
      </c>
      <c r="J280" s="98" t="b">
        <f>I280=N35</f>
        <v>1</v>
      </c>
      <c r="L280" s="575"/>
      <c r="M280" s="575" t="s">
        <v>13</v>
      </c>
      <c r="N280" s="98" t="s">
        <v>36</v>
      </c>
      <c r="O280" s="101">
        <f>$Q$35*U11</f>
        <v>157.72400000000002</v>
      </c>
      <c r="P280" s="101">
        <f>$Q$35*V11</f>
        <v>45.15</v>
      </c>
      <c r="Q280" s="101">
        <f>$Q$35*W11</f>
        <v>359.99599999999998</v>
      </c>
      <c r="R280" s="101">
        <f>$Q$35*X11</f>
        <v>39.130000000000003</v>
      </c>
      <c r="S280" s="101">
        <f t="shared" si="72"/>
        <v>602</v>
      </c>
      <c r="T280" s="98" t="b">
        <f>S280=Q35</f>
        <v>1</v>
      </c>
    </row>
    <row r="281" spans="2:20">
      <c r="B281" s="575"/>
      <c r="C281" s="575"/>
      <c r="D281" s="98" t="s">
        <v>37</v>
      </c>
      <c r="E281" s="101">
        <f>$O$35*U12</f>
        <v>0</v>
      </c>
      <c r="F281" s="101">
        <f>$O$35*V12</f>
        <v>0</v>
      </c>
      <c r="G281" s="101">
        <f>$O$35*W12</f>
        <v>0</v>
      </c>
      <c r="H281" s="101">
        <f>$O$35*X12</f>
        <v>0</v>
      </c>
      <c r="I281" s="101">
        <f t="shared" si="71"/>
        <v>0</v>
      </c>
      <c r="J281" s="98" t="b">
        <f>I281=O35</f>
        <v>1</v>
      </c>
      <c r="L281" s="575"/>
      <c r="M281" s="575"/>
      <c r="N281" s="98" t="s">
        <v>37</v>
      </c>
      <c r="O281" s="101">
        <f>$R$35*U12</f>
        <v>0</v>
      </c>
      <c r="P281" s="101">
        <f>$R$35*V12</f>
        <v>0</v>
      </c>
      <c r="Q281" s="101">
        <f>$R$35*W12</f>
        <v>0</v>
      </c>
      <c r="R281" s="101">
        <f>$R$35*X12</f>
        <v>0</v>
      </c>
      <c r="S281" s="101">
        <f t="shared" si="72"/>
        <v>0</v>
      </c>
      <c r="T281" s="98" t="b">
        <f>S281=R35</f>
        <v>1</v>
      </c>
    </row>
    <row r="282" spans="2:20">
      <c r="B282" s="575"/>
      <c r="C282" s="575" t="s">
        <v>23</v>
      </c>
      <c r="D282" s="98" t="s">
        <v>36</v>
      </c>
      <c r="E282" s="101">
        <f>$N$36*U17</f>
        <v>654.19799999999998</v>
      </c>
      <c r="F282" s="101">
        <f>$N$36*V17</f>
        <v>146.73599999999999</v>
      </c>
      <c r="G282" s="101">
        <f>$N$36*W17</f>
        <v>857.99799999999993</v>
      </c>
      <c r="H282" s="101">
        <f>$N$36*X17</f>
        <v>379.06799999999998</v>
      </c>
      <c r="I282" s="101">
        <f t="shared" si="71"/>
        <v>2037.9999999999998</v>
      </c>
      <c r="J282" s="98" t="b">
        <f>I282=N36</f>
        <v>1</v>
      </c>
      <c r="L282" s="575"/>
      <c r="M282" s="575" t="s">
        <v>23</v>
      </c>
      <c r="N282" s="98" t="s">
        <v>36</v>
      </c>
      <c r="O282" s="101">
        <f>$Q$36*U17</f>
        <v>643.60500000000002</v>
      </c>
      <c r="P282" s="101">
        <f>$Q$36*V17</f>
        <v>144.35999999999999</v>
      </c>
      <c r="Q282" s="101">
        <f>$Q$36*W17</f>
        <v>844.10500000000002</v>
      </c>
      <c r="R282" s="101">
        <f>$Q$36*X17</f>
        <v>372.93</v>
      </c>
      <c r="S282" s="101">
        <f t="shared" si="72"/>
        <v>2005.0000000000002</v>
      </c>
      <c r="T282" s="98" t="b">
        <f>S282=Q36</f>
        <v>1</v>
      </c>
    </row>
    <row r="283" spans="2:20">
      <c r="B283" s="575"/>
      <c r="C283" s="575"/>
      <c r="D283" s="98" t="s">
        <v>37</v>
      </c>
      <c r="E283" s="101">
        <f>$O$36*U18</f>
        <v>0</v>
      </c>
      <c r="F283" s="101">
        <f>$O$36*V18</f>
        <v>0</v>
      </c>
      <c r="G283" s="101">
        <f>$O$36*W18</f>
        <v>0</v>
      </c>
      <c r="H283" s="101">
        <f>$O$36*X18</f>
        <v>0</v>
      </c>
      <c r="I283" s="101">
        <f t="shared" si="71"/>
        <v>0</v>
      </c>
      <c r="J283" s="98" t="b">
        <f>I283=O36</f>
        <v>1</v>
      </c>
      <c r="L283" s="575"/>
      <c r="M283" s="575"/>
      <c r="N283" s="98" t="s">
        <v>37</v>
      </c>
      <c r="O283" s="101">
        <f>$R$36*U18</f>
        <v>0</v>
      </c>
      <c r="P283" s="101">
        <f>$R$36*V18</f>
        <v>0</v>
      </c>
      <c r="Q283" s="101">
        <f>$R$36*W18</f>
        <v>0</v>
      </c>
      <c r="R283" s="101">
        <f>$R$36*X18</f>
        <v>0</v>
      </c>
      <c r="S283" s="101">
        <f t="shared" si="72"/>
        <v>0</v>
      </c>
      <c r="T283" s="98" t="b">
        <f>S283=R36</f>
        <v>1</v>
      </c>
    </row>
    <row r="284" spans="2:20">
      <c r="B284" s="575" t="s">
        <v>144</v>
      </c>
      <c r="C284" s="575"/>
      <c r="D284" s="98" t="s">
        <v>36</v>
      </c>
      <c r="E284" s="101">
        <f>$N$37*U15</f>
        <v>331.66399999999999</v>
      </c>
      <c r="F284" s="101">
        <f>$N$37*V15</f>
        <v>78.551999999999992</v>
      </c>
      <c r="G284" s="101">
        <f>$N$37*W15</f>
        <v>451.67399999999998</v>
      </c>
      <c r="H284" s="101">
        <f>$N$37*X15</f>
        <v>229.10999999999999</v>
      </c>
      <c r="I284" s="101">
        <f t="shared" si="71"/>
        <v>1091</v>
      </c>
      <c r="J284" s="98" t="b">
        <f>I284=N37</f>
        <v>1</v>
      </c>
      <c r="L284" s="575" t="s">
        <v>144</v>
      </c>
      <c r="M284" s="575"/>
      <c r="N284" s="98" t="s">
        <v>36</v>
      </c>
      <c r="O284" s="101">
        <f>$Q$37*U15</f>
        <v>326.19200000000001</v>
      </c>
      <c r="P284" s="101">
        <f>$Q$37*V15</f>
        <v>77.256</v>
      </c>
      <c r="Q284" s="101">
        <f>$Q$37*W15</f>
        <v>444.22199999999998</v>
      </c>
      <c r="R284" s="101">
        <f>$Q$37*X15</f>
        <v>225.32999999999998</v>
      </c>
      <c r="S284" s="101">
        <f t="shared" si="72"/>
        <v>1073</v>
      </c>
      <c r="T284" s="98" t="b">
        <f>S284=Q37</f>
        <v>1</v>
      </c>
    </row>
    <row r="285" spans="2:20">
      <c r="B285" s="575"/>
      <c r="C285" s="575"/>
      <c r="D285" s="98" t="s">
        <v>37</v>
      </c>
      <c r="E285" s="101">
        <f>$O$37*U16</f>
        <v>0</v>
      </c>
      <c r="F285" s="101">
        <f>$O$37*V16</f>
        <v>0</v>
      </c>
      <c r="G285" s="101">
        <f>$O$37*W16</f>
        <v>0</v>
      </c>
      <c r="H285" s="101">
        <f>$O$37*X16</f>
        <v>0</v>
      </c>
      <c r="I285" s="101">
        <f t="shared" si="71"/>
        <v>0</v>
      </c>
      <c r="J285" s="98" t="b">
        <f>I285=O37</f>
        <v>1</v>
      </c>
      <c r="L285" s="575"/>
      <c r="M285" s="575"/>
      <c r="N285" s="98" t="s">
        <v>37</v>
      </c>
      <c r="O285" s="101">
        <f>$R$37*U16</f>
        <v>0</v>
      </c>
      <c r="P285" s="101">
        <f>$R$37*V16</f>
        <v>0</v>
      </c>
      <c r="Q285" s="101">
        <f>$R$37*W16</f>
        <v>0</v>
      </c>
      <c r="R285" s="101">
        <f>$R$37*X16</f>
        <v>0</v>
      </c>
      <c r="S285" s="101">
        <f t="shared" si="72"/>
        <v>0</v>
      </c>
      <c r="T285" s="98" t="b">
        <f>S285=R37</f>
        <v>1</v>
      </c>
    </row>
    <row r="286" spans="2:20">
      <c r="B286" s="575" t="s">
        <v>270</v>
      </c>
      <c r="C286" s="575"/>
      <c r="D286" s="98" t="s">
        <v>36</v>
      </c>
      <c r="E286" s="101">
        <f>$N$38*U11</f>
        <v>90.128</v>
      </c>
      <c r="F286" s="101">
        <f>$N$38*V11</f>
        <v>25.8</v>
      </c>
      <c r="G286" s="101">
        <f>$N$38*W11</f>
        <v>205.71199999999999</v>
      </c>
      <c r="H286" s="101">
        <f>$N$38*X11</f>
        <v>22.36</v>
      </c>
      <c r="I286" s="101">
        <f t="shared" si="71"/>
        <v>344</v>
      </c>
      <c r="J286" s="98" t="b">
        <f>I286=N38</f>
        <v>1</v>
      </c>
      <c r="L286" s="575" t="s">
        <v>270</v>
      </c>
      <c r="M286" s="575"/>
      <c r="N286" s="98" t="s">
        <v>36</v>
      </c>
      <c r="O286" s="101">
        <f>$Q$38*U11</f>
        <v>88.555999999999997</v>
      </c>
      <c r="P286" s="101">
        <f>$Q$38*V11</f>
        <v>25.349999999999998</v>
      </c>
      <c r="Q286" s="101">
        <f>$Q$38*W11</f>
        <v>202.124</v>
      </c>
      <c r="R286" s="101">
        <f>$Q$38*X11</f>
        <v>21.970000000000002</v>
      </c>
      <c r="S286" s="101">
        <f t="shared" si="72"/>
        <v>338</v>
      </c>
      <c r="T286" s="98" t="b">
        <f>S286=Q38</f>
        <v>1</v>
      </c>
    </row>
    <row r="287" spans="2:20">
      <c r="B287" s="575"/>
      <c r="C287" s="575"/>
      <c r="D287" s="98" t="s">
        <v>37</v>
      </c>
      <c r="E287" s="101">
        <f>$O$38*U12</f>
        <v>0</v>
      </c>
      <c r="F287" s="101">
        <f>$O$38*V12</f>
        <v>0</v>
      </c>
      <c r="G287" s="101">
        <f>$O$38*W12</f>
        <v>0</v>
      </c>
      <c r="H287" s="101">
        <f>$O$38*X12</f>
        <v>0</v>
      </c>
      <c r="I287" s="101">
        <f t="shared" si="71"/>
        <v>0</v>
      </c>
      <c r="J287" s="98" t="b">
        <f>I287=O38</f>
        <v>1</v>
      </c>
      <c r="L287" s="575"/>
      <c r="M287" s="575"/>
      <c r="N287" s="98" t="s">
        <v>37</v>
      </c>
      <c r="O287" s="101">
        <f>$R$38*U12</f>
        <v>0</v>
      </c>
      <c r="P287" s="101">
        <f>$R$38*V12</f>
        <v>0</v>
      </c>
      <c r="Q287" s="101">
        <f>$R$38*W12</f>
        <v>0</v>
      </c>
      <c r="R287" s="101">
        <f>$R$38*X12</f>
        <v>0</v>
      </c>
      <c r="S287" s="101">
        <f t="shared" si="72"/>
        <v>0</v>
      </c>
      <c r="T287" s="98" t="b">
        <f>S287=R38</f>
        <v>1</v>
      </c>
    </row>
    <row r="291" spans="2:17" ht="23">
      <c r="B291" s="102" t="s">
        <v>355</v>
      </c>
      <c r="L291" s="102" t="s">
        <v>356</v>
      </c>
    </row>
    <row r="293" spans="2:17">
      <c r="G293" t="s">
        <v>277</v>
      </c>
    </row>
    <row r="294" spans="2:17">
      <c r="C294" s="580" t="s">
        <v>27</v>
      </c>
      <c r="D294" s="580"/>
      <c r="E294" s="160" t="s">
        <v>261</v>
      </c>
      <c r="F294" s="160" t="s">
        <v>262</v>
      </c>
      <c r="G294" s="160" t="s">
        <v>263</v>
      </c>
      <c r="I294" s="100" t="s">
        <v>264</v>
      </c>
      <c r="J294" s="100" t="s">
        <v>265</v>
      </c>
      <c r="M294" s="580" t="s">
        <v>27</v>
      </c>
      <c r="N294" s="580"/>
      <c r="O294" s="160" t="s">
        <v>261</v>
      </c>
      <c r="P294" s="160" t="s">
        <v>262</v>
      </c>
      <c r="Q294" s="160" t="s">
        <v>263</v>
      </c>
    </row>
    <row r="295" spans="2:17">
      <c r="C295" s="574" t="s">
        <v>135</v>
      </c>
      <c r="D295" s="574"/>
      <c r="E295" s="161"/>
      <c r="F295" s="161"/>
      <c r="G295" s="161"/>
      <c r="I295" s="98"/>
      <c r="J295" s="98"/>
      <c r="M295" s="574" t="s">
        <v>135</v>
      </c>
      <c r="N295" s="574"/>
      <c r="O295" s="161"/>
      <c r="P295" s="161"/>
      <c r="Q295" s="161"/>
    </row>
    <row r="296" spans="2:17">
      <c r="C296" s="574" t="s">
        <v>136</v>
      </c>
      <c r="D296" s="574"/>
      <c r="E296" s="162">
        <f>SUM(E$268:E$269)/$L$7</f>
        <v>25.642553191489363</v>
      </c>
      <c r="F296" s="162">
        <f>SUM(F$268:F$269)/$M$7</f>
        <v>6.8999999999999995</v>
      </c>
      <c r="G296" s="162">
        <f>SUM(G$268:G$269)/$O$7</f>
        <v>2.8664119485932615</v>
      </c>
      <c r="I296" s="98"/>
      <c r="J296" s="98"/>
      <c r="M296" s="574" t="s">
        <v>136</v>
      </c>
      <c r="N296" s="574"/>
      <c r="O296" s="162">
        <f>SUM(O$268:O$269)/$L$7</f>
        <v>25.085106382978729</v>
      </c>
      <c r="P296" s="162">
        <f>SUM(P$268:P$269)/$M$7</f>
        <v>6.75</v>
      </c>
      <c r="Q296" s="162">
        <f>SUM(Q$268:Q$269)/$O$7</f>
        <v>2.804098645362973</v>
      </c>
    </row>
    <row r="297" spans="2:17">
      <c r="C297" s="574" t="s">
        <v>137</v>
      </c>
      <c r="D297" s="574"/>
      <c r="E297" s="162">
        <f>SUM(E$270:E$271)/$L$7</f>
        <v>221.63971631205675</v>
      </c>
      <c r="F297" s="162">
        <f>SUM(F$270:F$271)/$M$7</f>
        <v>49.343999999999994</v>
      </c>
      <c r="G297" s="162">
        <f>SUM(G$270:G$271)/$O$7</f>
        <v>14.782632858631469</v>
      </c>
      <c r="I297" s="98"/>
      <c r="J297" s="98"/>
      <c r="M297" s="574" t="s">
        <v>137</v>
      </c>
      <c r="N297" s="574"/>
      <c r="O297" s="162">
        <f>SUM(O$270:O$271)/$L$7</f>
        <v>217.97446808510639</v>
      </c>
      <c r="P297" s="162">
        <f>SUM(P$270:P$271)/$M$7</f>
        <v>48.527999999999999</v>
      </c>
      <c r="Q297" s="162">
        <f>SUM(Q$270:Q$271)/$O$7</f>
        <v>14.538172976728029</v>
      </c>
    </row>
    <row r="298" spans="2:17">
      <c r="C298" s="574" t="s">
        <v>139</v>
      </c>
      <c r="D298" s="574"/>
      <c r="E298" s="162">
        <f>SUM(E$272:E$273)/$L$7</f>
        <v>7920.3510638297876</v>
      </c>
      <c r="F298" s="162">
        <f>SUM(F$272:F$273)/$M$7</f>
        <v>986.23799999999994</v>
      </c>
      <c r="G298" s="162">
        <f>SUM(G$272:G$273)/$O$7</f>
        <v>350.62299409517192</v>
      </c>
      <c r="I298" s="98"/>
      <c r="J298" s="98"/>
      <c r="M298" s="574" t="s">
        <v>139</v>
      </c>
      <c r="N298" s="574"/>
      <c r="O298" s="162">
        <f>SUM(O$272:O$273)/$L$7</f>
        <v>7790.6524822695037</v>
      </c>
      <c r="P298" s="162">
        <f>SUM(P$272:P$273)/$M$7</f>
        <v>970.08799999999985</v>
      </c>
      <c r="Q298" s="162">
        <f>SUM(Q$272:Q$273)/$O$7</f>
        <v>344.88141715873564</v>
      </c>
    </row>
    <row r="299" spans="2:17">
      <c r="C299" s="574" t="s">
        <v>43</v>
      </c>
      <c r="D299" s="574"/>
      <c r="E299" s="162">
        <f>SUM(E$274:E$275)/$L$7</f>
        <v>858.46808510638311</v>
      </c>
      <c r="F299" s="162">
        <f>SUM(F$274:F$275)/$M$7</f>
        <v>106.896</v>
      </c>
      <c r="G299" s="162">
        <f>SUM(G$274:G$275)/$O$7</f>
        <v>38.003195554011803</v>
      </c>
      <c r="I299" s="98"/>
      <c r="J299" s="98"/>
      <c r="M299" s="574" t="s">
        <v>43</v>
      </c>
      <c r="N299" s="574"/>
      <c r="O299" s="162">
        <f>SUM(O$274:O$275)/$L$7</f>
        <v>844.26950354609937</v>
      </c>
      <c r="P299" s="162">
        <f>SUM(P$274:P$275)/$M$7</f>
        <v>105.12799999999999</v>
      </c>
      <c r="Q299" s="162">
        <f>SUM(Q$274:Q$275)/$O$7</f>
        <v>37.374643973601941</v>
      </c>
    </row>
    <row r="300" spans="2:17">
      <c r="C300" s="574" t="s">
        <v>141</v>
      </c>
      <c r="D300" s="574"/>
      <c r="E300" s="162">
        <f>SUM(E$276:E$277)/$L$7</f>
        <v>732.86524822695037</v>
      </c>
      <c r="F300" s="162">
        <f>SUM(F$276:F$277)/$M$7</f>
        <v>91.255999999999986</v>
      </c>
      <c r="G300" s="162">
        <f>SUM(G$276:G$277)/$O$7</f>
        <v>32.442931573463007</v>
      </c>
      <c r="I300" s="98"/>
      <c r="J300" s="98"/>
      <c r="M300" s="574" t="s">
        <v>141</v>
      </c>
      <c r="N300" s="574"/>
      <c r="O300" s="162">
        <f>SUM(O$276:O$277)/$L$7</f>
        <v>720.85106382978722</v>
      </c>
      <c r="P300" s="162">
        <f>SUM(P$276:P$277)/$M$7</f>
        <v>89.759999999999991</v>
      </c>
      <c r="Q300" s="162">
        <f>SUM(Q$276:Q$277)/$O$7</f>
        <v>31.911080236193122</v>
      </c>
    </row>
    <row r="301" spans="2:17">
      <c r="C301" s="191" t="s">
        <v>142</v>
      </c>
      <c r="D301" s="191" t="s">
        <v>21</v>
      </c>
      <c r="E301" s="162"/>
      <c r="F301" s="162"/>
      <c r="G301" s="162"/>
      <c r="I301" s="98"/>
      <c r="J301" s="98"/>
      <c r="M301" s="191" t="s">
        <v>142</v>
      </c>
      <c r="N301" s="191" t="s">
        <v>21</v>
      </c>
      <c r="O301" s="162"/>
      <c r="P301" s="162"/>
      <c r="Q301" s="162"/>
    </row>
    <row r="302" spans="2:17">
      <c r="C302" s="191" t="s">
        <v>19</v>
      </c>
      <c r="D302" s="191" t="s">
        <v>14</v>
      </c>
      <c r="E302" s="162">
        <f>SUM(E$278:E$279)/$L$7</f>
        <v>171.61985815602836</v>
      </c>
      <c r="F302" s="162">
        <f>SUM(F$278:F$279)/$M$7</f>
        <v>38.207999999999998</v>
      </c>
      <c r="G302" s="162">
        <f>SUM(G$278:G$279)/$O$7</f>
        <v>11.446474470302189</v>
      </c>
      <c r="I302" s="98"/>
      <c r="J302" s="98"/>
      <c r="M302" s="191" t="s">
        <v>19</v>
      </c>
      <c r="N302" s="191" t="s">
        <v>14</v>
      </c>
      <c r="O302" s="162">
        <f>SUM(O$278:O$279)/$L$7</f>
        <v>168.81702127659574</v>
      </c>
      <c r="P302" s="162">
        <f>SUM(P$278:P$279)/$M$7</f>
        <v>37.583999999999996</v>
      </c>
      <c r="Q302" s="162">
        <f>SUM(Q$278:Q$279)/$O$7</f>
        <v>11.259534560611323</v>
      </c>
    </row>
    <row r="303" spans="2:17" ht="25">
      <c r="C303" s="191" t="s">
        <v>20</v>
      </c>
      <c r="D303" s="191" t="s">
        <v>13</v>
      </c>
      <c r="E303" s="162">
        <f>SUM(E$280:E$281)/$L$7</f>
        <v>113.71914893617021</v>
      </c>
      <c r="F303" s="162">
        <f>SUM(F$280:F$281)/$M$7</f>
        <v>30.599999999999998</v>
      </c>
      <c r="G303" s="162">
        <f>SUM(G$280:G$281)/$O$7</f>
        <v>12.711913858978813</v>
      </c>
      <c r="I303" s="98"/>
      <c r="J303" s="98"/>
      <c r="M303" s="191" t="s">
        <v>20</v>
      </c>
      <c r="N303" s="191" t="s">
        <v>13</v>
      </c>
      <c r="O303" s="162">
        <f>SUM(O$280:O$281)/$L$7</f>
        <v>111.86099290780143</v>
      </c>
      <c r="P303" s="162">
        <f>SUM(P$280:P$281)/$M$7</f>
        <v>30.099999999999998</v>
      </c>
      <c r="Q303" s="162">
        <f>SUM(Q$280:Q$281)/$O$7</f>
        <v>12.504202848211184</v>
      </c>
    </row>
    <row r="304" spans="2:17">
      <c r="C304" s="104"/>
      <c r="D304" s="191" t="s">
        <v>23</v>
      </c>
      <c r="E304" s="162">
        <f>SUM(E$282:E$283)/$L$7</f>
        <v>463.97021276595746</v>
      </c>
      <c r="F304" s="162">
        <f>SUM(F$282:F$283)/$M$7</f>
        <v>97.823999999999998</v>
      </c>
      <c r="G304" s="162">
        <f>SUM(G$282:G$283)/$O$7</f>
        <v>29.801945119833274</v>
      </c>
      <c r="I304" s="98"/>
      <c r="J304" s="98"/>
      <c r="M304" s="104"/>
      <c r="N304" s="191" t="s">
        <v>23</v>
      </c>
      <c r="O304" s="162">
        <f>SUM(O$282:O$283)/$L$7</f>
        <v>456.45744680851067</v>
      </c>
      <c r="P304" s="162">
        <f>SUM(P$282:P$283)/$M$7</f>
        <v>96.24</v>
      </c>
      <c r="Q304" s="162">
        <f>SUM(Q$282:Q$283)/$O$7</f>
        <v>29.319381729767283</v>
      </c>
    </row>
    <row r="305" spans="3:17">
      <c r="C305" s="574" t="s">
        <v>144</v>
      </c>
      <c r="D305" s="574"/>
      <c r="E305" s="162">
        <f>SUM(E$284:E$285)/$L$7</f>
        <v>235.22269503546099</v>
      </c>
      <c r="F305" s="162">
        <f>SUM(F$284:F$285)/$M$7</f>
        <v>52.367999999999995</v>
      </c>
      <c r="G305" s="162">
        <f>SUM(G$284:G$285)/$O$7</f>
        <v>15.688572420979506</v>
      </c>
      <c r="I305" s="98"/>
      <c r="J305" s="98"/>
      <c r="M305" s="574" t="s">
        <v>144</v>
      </c>
      <c r="N305" s="574"/>
      <c r="O305" s="162">
        <f>SUM(O$284:O$285)/$L$7</f>
        <v>231.34184397163122</v>
      </c>
      <c r="P305" s="162">
        <f>SUM(P$284:P$285)/$M$7</f>
        <v>51.503999999999998</v>
      </c>
      <c r="Q305" s="162">
        <f>SUM(Q$284:Q$285)/$O$7</f>
        <v>15.429732546022924</v>
      </c>
    </row>
    <row r="306" spans="3:17">
      <c r="C306" s="574" t="s">
        <v>145</v>
      </c>
      <c r="D306" s="574"/>
      <c r="E306" s="162">
        <f>SUM(E$286:E$287)/$L$7</f>
        <v>63.920567375886527</v>
      </c>
      <c r="F306" s="162">
        <f>SUM(F$286:F$287)/$M$7</f>
        <v>17.2</v>
      </c>
      <c r="G306" s="162">
        <f>SUM(G$286:G$287)/$O$7</f>
        <v>7.1452587704063912</v>
      </c>
      <c r="I306" s="98"/>
      <c r="J306" s="98"/>
      <c r="M306" s="574" t="s">
        <v>145</v>
      </c>
      <c r="N306" s="574"/>
      <c r="O306" s="162">
        <f>SUM(O$286:O$287)/$L$7</f>
        <v>62.805673758865247</v>
      </c>
      <c r="P306" s="162">
        <f>SUM(P$286:P$287)/$M$7</f>
        <v>16.899999999999999</v>
      </c>
      <c r="Q306" s="162">
        <f>SUM(Q$286:Q$287)/$O$7</f>
        <v>7.0206321639458142</v>
      </c>
    </row>
    <row r="307" spans="3:17">
      <c r="C307" s="574" t="s">
        <v>26</v>
      </c>
      <c r="D307" s="574"/>
      <c r="E307" s="161"/>
      <c r="F307" s="161"/>
      <c r="G307" s="161"/>
      <c r="I307" s="98"/>
      <c r="J307" s="98"/>
      <c r="M307" s="574" t="s">
        <v>26</v>
      </c>
      <c r="N307" s="574"/>
      <c r="O307" s="161"/>
      <c r="P307" s="161"/>
      <c r="Q307" s="161"/>
    </row>
  </sheetData>
  <mergeCells count="145">
    <mergeCell ref="DR93:DU93"/>
    <mergeCell ref="AF7:AG9"/>
    <mergeCell ref="AI7:AN7"/>
    <mergeCell ref="AI8:AK8"/>
    <mergeCell ref="AL8:AN8"/>
    <mergeCell ref="A9:B9"/>
    <mergeCell ref="A10:B10"/>
    <mergeCell ref="AF10:AG10"/>
    <mergeCell ref="A6:B8"/>
    <mergeCell ref="D6:E6"/>
    <mergeCell ref="F6:H6"/>
    <mergeCell ref="S6:T6"/>
    <mergeCell ref="D7:E7"/>
    <mergeCell ref="F7:H7"/>
    <mergeCell ref="S7:S10"/>
    <mergeCell ref="S15:S16"/>
    <mergeCell ref="AF15:AG15"/>
    <mergeCell ref="S17:S18"/>
    <mergeCell ref="A19:B19"/>
    <mergeCell ref="A20:B20"/>
    <mergeCell ref="AF20:AG20"/>
    <mergeCell ref="A11:B11"/>
    <mergeCell ref="S11:S12"/>
    <mergeCell ref="AF11:AG11"/>
    <mergeCell ref="A12:B12"/>
    <mergeCell ref="AF12:AG12"/>
    <mergeCell ref="A13:B13"/>
    <mergeCell ref="S13:S14"/>
    <mergeCell ref="AF13:AG13"/>
    <mergeCell ref="A14:B14"/>
    <mergeCell ref="AF14:AG14"/>
    <mergeCell ref="Q26:S26"/>
    <mergeCell ref="A28:B28"/>
    <mergeCell ref="K28:L28"/>
    <mergeCell ref="A21:B21"/>
    <mergeCell ref="AF21:AG21"/>
    <mergeCell ref="AF22:AG22"/>
    <mergeCell ref="A25:B27"/>
    <mergeCell ref="D25:I25"/>
    <mergeCell ref="K25:L27"/>
    <mergeCell ref="N25:S25"/>
    <mergeCell ref="D26:F26"/>
    <mergeCell ref="G26:I26"/>
    <mergeCell ref="N26:P26"/>
    <mergeCell ref="M93:Z93"/>
    <mergeCell ref="B177:B178"/>
    <mergeCell ref="C177:D177"/>
    <mergeCell ref="E177:F177"/>
    <mergeCell ref="G177:H177"/>
    <mergeCell ref="A29:B29"/>
    <mergeCell ref="K29:L29"/>
    <mergeCell ref="A30:B30"/>
    <mergeCell ref="K30:L30"/>
    <mergeCell ref="A37:B37"/>
    <mergeCell ref="K37:L37"/>
    <mergeCell ref="A38:B38"/>
    <mergeCell ref="K38:L38"/>
    <mergeCell ref="A39:B39"/>
    <mergeCell ref="K39:L39"/>
    <mergeCell ref="A31:B31"/>
    <mergeCell ref="K31:L31"/>
    <mergeCell ref="A32:B32"/>
    <mergeCell ref="K32:L32"/>
    <mergeCell ref="A33:B33"/>
    <mergeCell ref="K33:L33"/>
    <mergeCell ref="X170:X171"/>
    <mergeCell ref="S173:S174"/>
    <mergeCell ref="U173:U174"/>
    <mergeCell ref="V173:V174"/>
    <mergeCell ref="W173:W174"/>
    <mergeCell ref="X173:X174"/>
    <mergeCell ref="C300:D300"/>
    <mergeCell ref="M300:N300"/>
    <mergeCell ref="C305:D305"/>
    <mergeCell ref="M305:N305"/>
    <mergeCell ref="C297:D297"/>
    <mergeCell ref="M297:N297"/>
    <mergeCell ref="C298:D298"/>
    <mergeCell ref="M298:N298"/>
    <mergeCell ref="C299:D299"/>
    <mergeCell ref="M299:N299"/>
    <mergeCell ref="B268:C269"/>
    <mergeCell ref="L268:M269"/>
    <mergeCell ref="B270:C271"/>
    <mergeCell ref="L270:M271"/>
    <mergeCell ref="B272:C273"/>
    <mergeCell ref="L272:M273"/>
    <mergeCell ref="B265:C265"/>
    <mergeCell ref="L265:M265"/>
    <mergeCell ref="S170:T171"/>
    <mergeCell ref="C294:D294"/>
    <mergeCell ref="M294:N294"/>
    <mergeCell ref="C295:D295"/>
    <mergeCell ref="M295:N295"/>
    <mergeCell ref="C296:D296"/>
    <mergeCell ref="M296:N296"/>
    <mergeCell ref="C282:C283"/>
    <mergeCell ref="M282:M283"/>
    <mergeCell ref="B266:C267"/>
    <mergeCell ref="E266:I267"/>
    <mergeCell ref="L266:M267"/>
    <mergeCell ref="O266:R267"/>
    <mergeCell ref="I177:K177"/>
    <mergeCell ref="C307:D307"/>
    <mergeCell ref="M307:N307"/>
    <mergeCell ref="B284:C285"/>
    <mergeCell ref="L284:M285"/>
    <mergeCell ref="B286:C287"/>
    <mergeCell ref="L286:M287"/>
    <mergeCell ref="B274:C275"/>
    <mergeCell ref="L274:M275"/>
    <mergeCell ref="B276:C277"/>
    <mergeCell ref="L276:M277"/>
    <mergeCell ref="B278:B283"/>
    <mergeCell ref="C278:C279"/>
    <mergeCell ref="L278:L283"/>
    <mergeCell ref="M278:M279"/>
    <mergeCell ref="C280:C281"/>
    <mergeCell ref="M280:M281"/>
    <mergeCell ref="C306:D306"/>
    <mergeCell ref="M306:N306"/>
    <mergeCell ref="DY43:DZ43"/>
    <mergeCell ref="DY93:DZ93"/>
    <mergeCell ref="BC43:BP43"/>
    <mergeCell ref="BQ43:CD43"/>
    <mergeCell ref="CE43:CR43"/>
    <mergeCell ref="M43:Z43"/>
    <mergeCell ref="AA43:AN43"/>
    <mergeCell ref="AO43:BB43"/>
    <mergeCell ref="AA93:AN93"/>
    <mergeCell ref="AO93:BB93"/>
    <mergeCell ref="BC93:BP93"/>
    <mergeCell ref="BQ93:CD93"/>
    <mergeCell ref="CE93:CR93"/>
    <mergeCell ref="CX43:DA43"/>
    <mergeCell ref="DB43:DE43"/>
    <mergeCell ref="DF43:DI43"/>
    <mergeCell ref="DJ43:DM43"/>
    <mergeCell ref="DR43:DU43"/>
    <mergeCell ref="CX93:DA93"/>
    <mergeCell ref="DB93:DE93"/>
    <mergeCell ref="DF93:DI93"/>
    <mergeCell ref="DJ93:DM93"/>
    <mergeCell ref="DN93:DQ93"/>
    <mergeCell ref="DN43:DQ43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P21"/>
  <sheetViews>
    <sheetView workbookViewId="0">
      <selection activeCell="H15" sqref="H15"/>
    </sheetView>
  </sheetViews>
  <sheetFormatPr defaultRowHeight="17"/>
  <cols>
    <col min="2" max="14" width="10.6640625" bestFit="1" customWidth="1"/>
  </cols>
  <sheetData>
    <row r="1" spans="1:16">
      <c r="A1" s="631" t="s">
        <v>434</v>
      </c>
      <c r="B1" s="223"/>
      <c r="C1" s="631" t="s">
        <v>435</v>
      </c>
      <c r="D1" s="631" t="s">
        <v>436</v>
      </c>
      <c r="E1" s="631" t="s">
        <v>437</v>
      </c>
      <c r="F1" s="631"/>
      <c r="G1" s="631"/>
      <c r="H1" s="631"/>
      <c r="I1" s="631"/>
      <c r="J1" s="631" t="s">
        <v>438</v>
      </c>
      <c r="K1" s="631"/>
      <c r="L1" s="631" t="s">
        <v>157</v>
      </c>
      <c r="M1" s="631" t="s">
        <v>439</v>
      </c>
      <c r="N1" s="631" t="s">
        <v>440</v>
      </c>
      <c r="O1" s="631" t="s">
        <v>441</v>
      </c>
      <c r="P1" s="631" t="s">
        <v>442</v>
      </c>
    </row>
    <row r="2" spans="1:16">
      <c r="A2" s="631"/>
      <c r="B2" s="223"/>
      <c r="C2" s="631"/>
      <c r="D2" s="631"/>
      <c r="E2" s="224" t="s">
        <v>443</v>
      </c>
      <c r="F2" s="224" t="s">
        <v>444</v>
      </c>
      <c r="G2" s="224" t="s">
        <v>445</v>
      </c>
      <c r="H2" s="224" t="s">
        <v>446</v>
      </c>
      <c r="I2" s="224" t="s">
        <v>447</v>
      </c>
      <c r="J2" s="224" t="s">
        <v>448</v>
      </c>
      <c r="K2" s="224" t="s">
        <v>449</v>
      </c>
      <c r="L2" s="631"/>
      <c r="M2" s="631"/>
      <c r="N2" s="631"/>
      <c r="O2" s="631"/>
      <c r="P2" s="631"/>
    </row>
    <row r="3" spans="1:16">
      <c r="A3" s="224" t="s">
        <v>452</v>
      </c>
      <c r="B3" s="198" t="s">
        <v>427</v>
      </c>
      <c r="C3" s="229">
        <f>ROUND(B14,4)*100</f>
        <v>0.27999999999999997</v>
      </c>
      <c r="D3" s="229">
        <f t="shared" ref="D3:O3" si="0">ROUND(C14,4)*100</f>
        <v>47.03</v>
      </c>
      <c r="E3" s="229">
        <f t="shared" si="0"/>
        <v>5.6899999999999995</v>
      </c>
      <c r="F3" s="229">
        <f t="shared" si="0"/>
        <v>9.17</v>
      </c>
      <c r="G3" s="229">
        <f t="shared" si="0"/>
        <v>0.91999999999999993</v>
      </c>
      <c r="H3" s="229">
        <f t="shared" si="0"/>
        <v>0.01</v>
      </c>
      <c r="I3" s="229">
        <f t="shared" si="0"/>
        <v>2.78</v>
      </c>
      <c r="J3" s="229">
        <f t="shared" si="0"/>
        <v>30.44</v>
      </c>
      <c r="K3" s="229">
        <f t="shared" si="0"/>
        <v>0.15</v>
      </c>
      <c r="L3" s="229">
        <f t="shared" si="0"/>
        <v>3.02</v>
      </c>
      <c r="M3" s="229">
        <f t="shared" si="0"/>
        <v>0.22999999999999998</v>
      </c>
      <c r="N3" s="229">
        <f t="shared" si="0"/>
        <v>0.1</v>
      </c>
      <c r="O3" s="229">
        <f t="shared" si="0"/>
        <v>0.18</v>
      </c>
      <c r="P3" s="229">
        <f>SUM(C3:O3)</f>
        <v>100</v>
      </c>
    </row>
    <row r="4" spans="1:16">
      <c r="A4" s="224" t="s">
        <v>450</v>
      </c>
      <c r="B4" s="224" t="s">
        <v>456</v>
      </c>
      <c r="C4" s="229">
        <f t="shared" ref="C4:O4" si="1">ROUND(B15,4)*100</f>
        <v>30.44</v>
      </c>
      <c r="D4" s="229">
        <f t="shared" si="1"/>
        <v>32.07</v>
      </c>
      <c r="E4" s="229">
        <f t="shared" si="1"/>
        <v>7.7700000000000005</v>
      </c>
      <c r="F4" s="229">
        <f t="shared" si="1"/>
        <v>0.95</v>
      </c>
      <c r="G4" s="229">
        <f t="shared" si="1"/>
        <v>11.709999999999999</v>
      </c>
      <c r="H4" s="229">
        <f t="shared" si="1"/>
        <v>0</v>
      </c>
      <c r="I4" s="229">
        <f t="shared" si="1"/>
        <v>3.4799999999999995</v>
      </c>
      <c r="J4" s="229">
        <f t="shared" si="1"/>
        <v>4.71</v>
      </c>
      <c r="K4" s="229">
        <f t="shared" si="1"/>
        <v>0</v>
      </c>
      <c r="L4" s="229">
        <f t="shared" si="1"/>
        <v>4.62</v>
      </c>
      <c r="M4" s="229">
        <f t="shared" si="1"/>
        <v>0.67</v>
      </c>
      <c r="N4" s="229">
        <f t="shared" si="1"/>
        <v>2.5</v>
      </c>
      <c r="O4" s="229">
        <f t="shared" si="1"/>
        <v>1.08</v>
      </c>
      <c r="P4" s="229">
        <f>SUM(C4:O4)</f>
        <v>100</v>
      </c>
    </row>
    <row r="5" spans="1:16">
      <c r="A5" s="224" t="s">
        <v>451</v>
      </c>
      <c r="B5" s="198" t="s">
        <v>429</v>
      </c>
      <c r="C5" s="229">
        <f t="shared" ref="C5:O5" si="2">ROUND(B16,4)*100</f>
        <v>0.06</v>
      </c>
      <c r="D5" s="229">
        <f t="shared" si="2"/>
        <v>73.28</v>
      </c>
      <c r="E5" s="229">
        <f t="shared" si="2"/>
        <v>9.85</v>
      </c>
      <c r="F5" s="229">
        <f t="shared" si="2"/>
        <v>2.1</v>
      </c>
      <c r="G5" s="229">
        <f t="shared" si="2"/>
        <v>0.65</v>
      </c>
      <c r="H5" s="229">
        <f t="shared" si="2"/>
        <v>6.9999999999999993E-2</v>
      </c>
      <c r="I5" s="229">
        <f t="shared" si="2"/>
        <v>2.77</v>
      </c>
      <c r="J5" s="229">
        <f t="shared" si="2"/>
        <v>6.2700000000000005</v>
      </c>
      <c r="K5" s="229">
        <f t="shared" si="2"/>
        <v>0.02</v>
      </c>
      <c r="L5" s="229">
        <f t="shared" si="2"/>
        <v>2.5499999999999998</v>
      </c>
      <c r="M5" s="229">
        <f t="shared" si="2"/>
        <v>0.67</v>
      </c>
      <c r="N5" s="229">
        <f t="shared" si="2"/>
        <v>0.16999999999999998</v>
      </c>
      <c r="O5" s="229">
        <f t="shared" si="2"/>
        <v>1.54</v>
      </c>
      <c r="P5" s="229">
        <f t="shared" ref="P5:P8" si="3">SUM(C5:O5)</f>
        <v>99.999999999999986</v>
      </c>
    </row>
    <row r="6" spans="1:16">
      <c r="A6" s="224" t="s">
        <v>453</v>
      </c>
      <c r="B6" s="198" t="s">
        <v>430</v>
      </c>
      <c r="C6" s="229">
        <f t="shared" ref="C6:O6" si="4">ROUND(B17,4)*100</f>
        <v>0</v>
      </c>
      <c r="D6" s="229">
        <f t="shared" si="4"/>
        <v>82.809999999999988</v>
      </c>
      <c r="E6" s="229">
        <f t="shared" si="4"/>
        <v>0.43</v>
      </c>
      <c r="F6" s="229">
        <f t="shared" si="4"/>
        <v>1.22</v>
      </c>
      <c r="G6" s="229">
        <f t="shared" si="4"/>
        <v>0</v>
      </c>
      <c r="H6" s="229">
        <f t="shared" si="4"/>
        <v>5.3100000000000005</v>
      </c>
      <c r="I6" s="229">
        <f t="shared" si="4"/>
        <v>3.54</v>
      </c>
      <c r="J6" s="229">
        <f t="shared" si="4"/>
        <v>4.9399999999999995</v>
      </c>
      <c r="K6" s="229">
        <f t="shared" si="4"/>
        <v>0</v>
      </c>
      <c r="L6" s="229">
        <f t="shared" si="4"/>
        <v>0.76</v>
      </c>
      <c r="M6" s="229">
        <f t="shared" si="4"/>
        <v>0.91</v>
      </c>
      <c r="N6" s="229">
        <f t="shared" si="4"/>
        <v>0</v>
      </c>
      <c r="O6" s="229">
        <f t="shared" si="4"/>
        <v>0.08</v>
      </c>
      <c r="P6" s="229">
        <f t="shared" si="3"/>
        <v>100</v>
      </c>
    </row>
    <row r="7" spans="1:16">
      <c r="A7" s="224" t="s">
        <v>454</v>
      </c>
      <c r="B7" s="198" t="s">
        <v>431</v>
      </c>
      <c r="C7" s="229">
        <f t="shared" ref="C7:O7" si="5">ROUND(B18,4)*100</f>
        <v>0</v>
      </c>
      <c r="D7" s="229">
        <f t="shared" si="5"/>
        <v>61.28</v>
      </c>
      <c r="E7" s="229">
        <f t="shared" si="5"/>
        <v>2.9899999999999998</v>
      </c>
      <c r="F7" s="229">
        <f t="shared" si="5"/>
        <v>1</v>
      </c>
      <c r="G7" s="229">
        <f t="shared" si="5"/>
        <v>0.42</v>
      </c>
      <c r="H7" s="229">
        <f t="shared" si="5"/>
        <v>5.59</v>
      </c>
      <c r="I7" s="229">
        <f t="shared" si="5"/>
        <v>18.670000000000002</v>
      </c>
      <c r="J7" s="229">
        <f t="shared" si="5"/>
        <v>0.02</v>
      </c>
      <c r="K7" s="229">
        <f t="shared" si="5"/>
        <v>7.7</v>
      </c>
      <c r="L7" s="229">
        <f t="shared" si="5"/>
        <v>6.9999999999999993E-2</v>
      </c>
      <c r="M7" s="229">
        <f t="shared" si="5"/>
        <v>1.87</v>
      </c>
      <c r="N7" s="229">
        <f t="shared" si="5"/>
        <v>0.38999999999999996</v>
      </c>
      <c r="O7" s="229">
        <f t="shared" si="5"/>
        <v>0</v>
      </c>
      <c r="P7" s="229">
        <f t="shared" si="3"/>
        <v>100</v>
      </c>
    </row>
    <row r="8" spans="1:16">
      <c r="A8" s="224" t="s">
        <v>455</v>
      </c>
      <c r="B8" s="224"/>
      <c r="C8" s="229">
        <f t="shared" ref="C8:N8" si="6">ROUND(B19,4)*100</f>
        <v>16.97</v>
      </c>
      <c r="D8" s="229">
        <f t="shared" si="6"/>
        <v>44.06</v>
      </c>
      <c r="E8" s="229">
        <f t="shared" si="6"/>
        <v>7.31</v>
      </c>
      <c r="F8" s="229">
        <f t="shared" si="6"/>
        <v>3.17</v>
      </c>
      <c r="G8" s="229">
        <f t="shared" si="6"/>
        <v>6.83</v>
      </c>
      <c r="H8" s="229">
        <f t="shared" si="6"/>
        <v>0.22999999999999998</v>
      </c>
      <c r="I8" s="229">
        <f t="shared" si="6"/>
        <v>3.37</v>
      </c>
      <c r="J8" s="229">
        <f t="shared" si="6"/>
        <v>11.27</v>
      </c>
      <c r="K8" s="229">
        <f t="shared" si="6"/>
        <v>0.13</v>
      </c>
      <c r="L8" s="229">
        <f t="shared" si="6"/>
        <v>3.74</v>
      </c>
      <c r="M8" s="229">
        <f t="shared" si="6"/>
        <v>0.57999999999999996</v>
      </c>
      <c r="N8" s="229">
        <f t="shared" si="6"/>
        <v>1.44</v>
      </c>
      <c r="O8" s="229">
        <f>ROUND(N19,4)*100 + 0.01</f>
        <v>0.9</v>
      </c>
      <c r="P8" s="229">
        <f t="shared" si="3"/>
        <v>100</v>
      </c>
    </row>
    <row r="10" spans="1:16">
      <c r="B10" s="194"/>
      <c r="C10" s="194"/>
      <c r="D10" s="194"/>
      <c r="E10" s="194"/>
      <c r="F10" s="194"/>
    </row>
    <row r="12" spans="1:16">
      <c r="A12" t="s">
        <v>1</v>
      </c>
      <c r="B12" t="s">
        <v>472</v>
      </c>
      <c r="C12" t="s">
        <v>156</v>
      </c>
      <c r="D12" t="s">
        <v>158</v>
      </c>
      <c r="I12" t="s">
        <v>488</v>
      </c>
      <c r="K12" t="s">
        <v>157</v>
      </c>
      <c r="L12" t="s">
        <v>473</v>
      </c>
      <c r="M12" t="s">
        <v>474</v>
      </c>
      <c r="N12" t="s">
        <v>46</v>
      </c>
      <c r="O12" t="s">
        <v>11</v>
      </c>
    </row>
    <row r="13" spans="1:16">
      <c r="D13" t="s">
        <v>475</v>
      </c>
      <c r="E13" t="s">
        <v>476</v>
      </c>
      <c r="F13" t="s">
        <v>477</v>
      </c>
      <c r="G13" t="s">
        <v>478</v>
      </c>
      <c r="H13" t="s">
        <v>479</v>
      </c>
      <c r="I13" t="s">
        <v>480</v>
      </c>
      <c r="J13" t="s">
        <v>449</v>
      </c>
    </row>
    <row r="14" spans="1:16">
      <c r="A14" t="s">
        <v>463</v>
      </c>
      <c r="B14" s="228">
        <v>2.7740423825669031E-3</v>
      </c>
      <c r="C14" s="228">
        <v>0.47032974826315488</v>
      </c>
      <c r="D14" s="228">
        <v>5.6916966937888183E-2</v>
      </c>
      <c r="E14" s="228">
        <v>9.1698875926385592E-2</v>
      </c>
      <c r="F14" s="228">
        <v>9.1867991587859677E-3</v>
      </c>
      <c r="G14" s="228">
        <v>7.7738650838895507E-5</v>
      </c>
      <c r="H14" s="228">
        <v>2.7803160280731997E-2</v>
      </c>
      <c r="I14" s="228">
        <v>0.30440682681737963</v>
      </c>
      <c r="J14" s="228">
        <v>1.4824897098575337E-3</v>
      </c>
      <c r="K14" s="228">
        <v>3.0244426684269243E-2</v>
      </c>
      <c r="L14" s="228">
        <v>2.2653315621650079E-3</v>
      </c>
      <c r="M14" s="228">
        <v>1.0392430164778664E-3</v>
      </c>
      <c r="N14" s="228">
        <v>1.7729867735186695E-3</v>
      </c>
      <c r="O14">
        <v>1</v>
      </c>
    </row>
    <row r="15" spans="1:16">
      <c r="A15" t="s">
        <v>467</v>
      </c>
      <c r="B15" s="228">
        <v>0.30439310892028199</v>
      </c>
      <c r="C15" s="228">
        <v>0.32066381514347297</v>
      </c>
      <c r="D15" s="228">
        <v>7.7684247006356649E-2</v>
      </c>
      <c r="E15" s="228">
        <v>9.4787306161782901E-3</v>
      </c>
      <c r="F15" s="228">
        <v>0.11709667514827617</v>
      </c>
      <c r="G15" s="228">
        <v>6.0800068096076265E-7</v>
      </c>
      <c r="H15" s="228">
        <v>3.481898299726096E-2</v>
      </c>
      <c r="I15" s="228">
        <v>4.7139508796249854E-2</v>
      </c>
      <c r="J15" s="228">
        <v>0</v>
      </c>
      <c r="K15" s="228">
        <v>4.6234195782299273E-2</v>
      </c>
      <c r="L15" s="228">
        <v>6.6904394932922329E-3</v>
      </c>
      <c r="M15" s="228">
        <v>2.4971195967739484E-2</v>
      </c>
      <c r="N15" s="228">
        <v>1.0829708129273105E-2</v>
      </c>
      <c r="O15">
        <v>1</v>
      </c>
    </row>
    <row r="16" spans="1:16">
      <c r="A16" t="s">
        <v>464</v>
      </c>
      <c r="B16" s="228">
        <v>5.7912573463171895E-4</v>
      </c>
      <c r="C16" s="228">
        <v>0.73282141478272056</v>
      </c>
      <c r="D16" s="228">
        <v>9.8498562910214069E-2</v>
      </c>
      <c r="E16" s="228">
        <v>2.104585817854232E-2</v>
      </c>
      <c r="F16" s="228">
        <v>6.5226717000557675E-3</v>
      </c>
      <c r="G16" s="228">
        <v>6.7350178027540642E-4</v>
      </c>
      <c r="H16" s="228">
        <v>2.7662905924241775E-2</v>
      </c>
      <c r="I16" s="228">
        <v>6.2678563768178111E-2</v>
      </c>
      <c r="J16" s="228">
        <v>2.2736047359615632E-4</v>
      </c>
      <c r="K16" s="228">
        <v>2.5498691604821759E-2</v>
      </c>
      <c r="L16" s="228">
        <v>6.6921196001887518E-3</v>
      </c>
      <c r="M16" s="228">
        <v>1.7073484620994379E-3</v>
      </c>
      <c r="N16" s="228">
        <v>1.5394019990562396E-2</v>
      </c>
      <c r="O16">
        <v>1</v>
      </c>
    </row>
    <row r="17" spans="1:15">
      <c r="A17" t="s">
        <v>465</v>
      </c>
      <c r="B17" s="228">
        <v>0</v>
      </c>
      <c r="C17" s="228">
        <v>0.82808694240181868</v>
      </c>
      <c r="D17" s="228">
        <v>4.3146442738175323E-3</v>
      </c>
      <c r="E17" s="228">
        <v>1.2224825442483008E-2</v>
      </c>
      <c r="F17" s="228">
        <v>0</v>
      </c>
      <c r="G17" s="228">
        <v>5.3086362476513028E-2</v>
      </c>
      <c r="H17" s="228">
        <v>3.5352246630633972E-2</v>
      </c>
      <c r="I17" s="228">
        <v>4.9374840520540954E-2</v>
      </c>
      <c r="J17" s="228">
        <v>0</v>
      </c>
      <c r="K17" s="228">
        <v>7.6086200097427448E-3</v>
      </c>
      <c r="L17" s="228">
        <v>9.0584332737943356E-3</v>
      </c>
      <c r="M17" s="228">
        <v>0</v>
      </c>
      <c r="N17" s="228">
        <v>8.0468347676819203E-4</v>
      </c>
      <c r="O17">
        <v>1</v>
      </c>
    </row>
    <row r="18" spans="1:15">
      <c r="A18" t="s">
        <v>466</v>
      </c>
      <c r="B18" s="228">
        <v>0</v>
      </c>
      <c r="C18" s="228">
        <v>0.61278404925963936</v>
      </c>
      <c r="D18" s="228">
        <v>2.9878316962322241E-2</v>
      </c>
      <c r="E18" s="228">
        <v>1.0027855153203343E-2</v>
      </c>
      <c r="F18" s="228">
        <v>4.1929335874505208E-3</v>
      </c>
      <c r="G18" s="228">
        <v>5.5856912476176517E-2</v>
      </c>
      <c r="H18" s="228">
        <v>0.18674681131798856</v>
      </c>
      <c r="I18" s="228">
        <v>2.3456971118604309E-4</v>
      </c>
      <c r="J18" s="228">
        <v>7.6997507696818651E-2</v>
      </c>
      <c r="K18" s="228">
        <v>7.330303474563847E-4</v>
      </c>
      <c r="L18" s="228">
        <v>1.8677613253188681E-2</v>
      </c>
      <c r="M18" s="228">
        <v>3.8704002345697113E-3</v>
      </c>
      <c r="N18" s="228">
        <v>0</v>
      </c>
      <c r="O18">
        <v>1</v>
      </c>
    </row>
    <row r="19" spans="1:15">
      <c r="A19" t="s">
        <v>11</v>
      </c>
      <c r="B19" s="228">
        <v>0.16965710609839155</v>
      </c>
      <c r="C19" s="228">
        <v>0.44061854550324286</v>
      </c>
      <c r="D19" s="228">
        <v>7.313704860477456E-2</v>
      </c>
      <c r="E19" s="228">
        <v>3.1719988139664555E-2</v>
      </c>
      <c r="F19" s="228">
        <v>6.8312631156048756E-2</v>
      </c>
      <c r="G19" s="228">
        <v>2.3120232969910978E-3</v>
      </c>
      <c r="H19" s="228">
        <v>3.3721672739072957E-2</v>
      </c>
      <c r="I19" s="228">
        <v>0.11273997698771092</v>
      </c>
      <c r="J19" s="228">
        <v>1.2882429196394809E-3</v>
      </c>
      <c r="K19" s="228">
        <v>3.7371188357711228E-2</v>
      </c>
      <c r="L19" s="228">
        <v>5.8029963201251611E-3</v>
      </c>
      <c r="M19" s="228">
        <v>1.4424340268841016E-2</v>
      </c>
      <c r="N19" s="228">
        <v>8.894576932457144E-3</v>
      </c>
      <c r="O19">
        <v>1</v>
      </c>
    </row>
    <row r="21" spans="1:15" ht="23">
      <c r="A21" s="226" t="s">
        <v>825</v>
      </c>
      <c r="B21" s="227"/>
      <c r="C21" s="227"/>
      <c r="D21" s="227"/>
      <c r="E21" s="227"/>
      <c r="F21" s="227"/>
      <c r="G21" s="227"/>
      <c r="H21" s="227"/>
      <c r="I21" s="227"/>
      <c r="J21" s="227"/>
    </row>
  </sheetData>
  <mergeCells count="10">
    <mergeCell ref="M1:M2"/>
    <mergeCell ref="N1:N2"/>
    <mergeCell ref="O1:O2"/>
    <mergeCell ref="P1:P2"/>
    <mergeCell ref="A1:A2"/>
    <mergeCell ref="C1:C2"/>
    <mergeCell ref="D1:D2"/>
    <mergeCell ref="E1:I1"/>
    <mergeCell ref="J1:K1"/>
    <mergeCell ref="L1:L2"/>
  </mergeCells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828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'A.일산테크노밸리(859991)_수정'!EH91</f>
        <v>11025.324994211423</v>
      </c>
      <c r="C2" s="411">
        <f>'E.관광문화단지(849301)_수정'!EQ17+'C.장항공공주택지구(849992)'!EY137+'B.고양영상밸리(849991)_수정'!EQ82</f>
        <v>17427.47271021808</v>
      </c>
    </row>
  </sheetData>
  <phoneticPr fontId="2" type="noConversion"/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O38"/>
  <sheetViews>
    <sheetView workbookViewId="0">
      <selection activeCell="M12" sqref="M12"/>
    </sheetView>
  </sheetViews>
  <sheetFormatPr defaultRowHeight="17"/>
  <cols>
    <col min="11" max="11" width="32.5" bestFit="1" customWidth="1"/>
    <col min="14" max="14" width="9.5" bestFit="1" customWidth="1"/>
  </cols>
  <sheetData>
    <row r="1" spans="1:15" ht="30.5" thickBot="1">
      <c r="A1" s="254" t="s">
        <v>534</v>
      </c>
      <c r="K1" s="254" t="s">
        <v>552</v>
      </c>
    </row>
    <row r="2" spans="1:15" ht="17.5" customHeight="1" thickTop="1">
      <c r="A2" s="632" t="s">
        <v>1</v>
      </c>
      <c r="B2" s="636" t="s">
        <v>527</v>
      </c>
      <c r="C2" s="637"/>
      <c r="D2" s="634" t="s">
        <v>528</v>
      </c>
      <c r="E2" s="635"/>
      <c r="F2" s="635"/>
      <c r="G2" s="635"/>
      <c r="H2" s="635"/>
    </row>
    <row r="3" spans="1:15" ht="17.5" thickBot="1">
      <c r="A3" s="633"/>
      <c r="B3" s="636"/>
      <c r="C3" s="637"/>
      <c r="D3" s="247" t="s">
        <v>529</v>
      </c>
      <c r="E3" s="247" t="s">
        <v>530</v>
      </c>
      <c r="F3" s="247" t="s">
        <v>531</v>
      </c>
      <c r="G3" s="247" t="s">
        <v>532</v>
      </c>
      <c r="H3" s="248" t="s">
        <v>533</v>
      </c>
      <c r="M3" t="s">
        <v>536</v>
      </c>
    </row>
    <row r="4" spans="1:15" ht="26" thickTop="1" thickBot="1">
      <c r="A4" s="232"/>
      <c r="B4" s="19"/>
      <c r="C4" s="19"/>
      <c r="D4" s="232" t="s">
        <v>555</v>
      </c>
      <c r="E4" s="232" t="s">
        <v>556</v>
      </c>
      <c r="F4" s="232" t="s">
        <v>557</v>
      </c>
      <c r="G4" s="232" t="s">
        <v>558</v>
      </c>
      <c r="H4" s="19" t="s">
        <v>559</v>
      </c>
      <c r="K4" s="235" t="s">
        <v>1</v>
      </c>
      <c r="L4" s="257" t="s">
        <v>475</v>
      </c>
      <c r="M4" s="257" t="s">
        <v>478</v>
      </c>
      <c r="N4" s="257" t="s">
        <v>479</v>
      </c>
      <c r="O4" s="249" t="s">
        <v>157</v>
      </c>
    </row>
    <row r="5" spans="1:15" ht="17.5" thickTop="1">
      <c r="A5" s="231" t="s">
        <v>493</v>
      </c>
      <c r="B5" s="235" t="s">
        <v>496</v>
      </c>
      <c r="C5" s="236">
        <v>8</v>
      </c>
      <c r="D5" s="237">
        <v>1.06</v>
      </c>
      <c r="E5" s="237">
        <v>1.31</v>
      </c>
      <c r="F5" s="237">
        <v>1.1399999999999999</v>
      </c>
      <c r="G5" s="237">
        <v>1.32</v>
      </c>
      <c r="H5" s="238">
        <v>1.28</v>
      </c>
      <c r="K5" s="192" t="s">
        <v>537</v>
      </c>
      <c r="L5" s="255">
        <v>19.27</v>
      </c>
      <c r="M5" s="255">
        <v>27.9</v>
      </c>
      <c r="N5" s="255">
        <v>27.9</v>
      </c>
      <c r="O5" s="256">
        <v>1.47</v>
      </c>
    </row>
    <row r="6" spans="1:15">
      <c r="A6" s="232" t="s">
        <v>494</v>
      </c>
      <c r="B6" s="239" t="s">
        <v>497</v>
      </c>
      <c r="C6" s="240">
        <v>9</v>
      </c>
      <c r="D6" s="241">
        <v>1.0900000000000001</v>
      </c>
      <c r="E6" s="241">
        <v>1.34</v>
      </c>
      <c r="F6" s="241">
        <v>1.23</v>
      </c>
      <c r="G6" s="241">
        <v>1.32</v>
      </c>
      <c r="H6" s="242">
        <v>1.33</v>
      </c>
      <c r="K6" s="192" t="s">
        <v>538</v>
      </c>
      <c r="L6" s="255">
        <v>19.63</v>
      </c>
      <c r="M6" s="255">
        <v>26.96</v>
      </c>
      <c r="N6" s="255">
        <v>26.96</v>
      </c>
      <c r="O6" s="256">
        <v>1.48</v>
      </c>
    </row>
    <row r="7" spans="1:15">
      <c r="A7" s="232" t="s">
        <v>495</v>
      </c>
      <c r="B7" s="239" t="s">
        <v>498</v>
      </c>
      <c r="C7" s="240">
        <v>10</v>
      </c>
      <c r="D7" s="241">
        <v>1.1100000000000001</v>
      </c>
      <c r="E7" s="241">
        <v>1.06</v>
      </c>
      <c r="F7" s="241">
        <v>1.19</v>
      </c>
      <c r="G7" s="241">
        <v>1.35</v>
      </c>
      <c r="H7" s="242">
        <v>1.47</v>
      </c>
      <c r="K7" s="192" t="s">
        <v>539</v>
      </c>
      <c r="L7" s="255">
        <v>16</v>
      </c>
      <c r="M7" s="255">
        <v>28.3</v>
      </c>
      <c r="N7" s="255">
        <v>28.3</v>
      </c>
      <c r="O7" s="256">
        <v>1.48</v>
      </c>
    </row>
    <row r="8" spans="1:15">
      <c r="A8" s="233"/>
      <c r="B8" s="239" t="s">
        <v>499</v>
      </c>
      <c r="C8" s="240">
        <v>11</v>
      </c>
      <c r="D8" s="241">
        <v>1.1000000000000001</v>
      </c>
      <c r="E8" s="241">
        <v>1.0900000000000001</v>
      </c>
      <c r="F8" s="241">
        <v>1.17</v>
      </c>
      <c r="G8" s="241">
        <v>1.23</v>
      </c>
      <c r="H8" s="242">
        <v>1.29</v>
      </c>
      <c r="K8" s="192" t="s">
        <v>540</v>
      </c>
      <c r="L8" s="255">
        <v>11.37</v>
      </c>
      <c r="M8" s="255">
        <v>25.59</v>
      </c>
      <c r="N8" s="255">
        <v>25.59</v>
      </c>
      <c r="O8" s="256">
        <v>1.49</v>
      </c>
    </row>
    <row r="9" spans="1:15">
      <c r="A9" s="233"/>
      <c r="B9" s="239" t="s">
        <v>500</v>
      </c>
      <c r="C9" s="240">
        <v>12</v>
      </c>
      <c r="D9" s="241">
        <v>1.1200000000000001</v>
      </c>
      <c r="E9" s="241">
        <v>1.19</v>
      </c>
      <c r="F9" s="241">
        <v>1.1499999999999999</v>
      </c>
      <c r="G9" s="241">
        <v>1.26</v>
      </c>
      <c r="H9" s="242">
        <v>1.27</v>
      </c>
      <c r="K9" s="192" t="s">
        <v>541</v>
      </c>
      <c r="L9" s="255">
        <v>19.16</v>
      </c>
      <c r="M9" s="255">
        <v>27.47</v>
      </c>
      <c r="N9" s="255">
        <v>27.47</v>
      </c>
      <c r="O9" s="256">
        <v>1.48</v>
      </c>
    </row>
    <row r="10" spans="1:15">
      <c r="A10" s="233"/>
      <c r="B10" s="239" t="s">
        <v>501</v>
      </c>
      <c r="C10" s="240">
        <v>13</v>
      </c>
      <c r="D10" s="241">
        <v>1.0900000000000001</v>
      </c>
      <c r="E10" s="241">
        <v>1.1499999999999999</v>
      </c>
      <c r="F10" s="241">
        <v>1.18</v>
      </c>
      <c r="G10" s="241">
        <v>1.3</v>
      </c>
      <c r="H10" s="242">
        <v>1.29</v>
      </c>
      <c r="K10" s="192" t="s">
        <v>542</v>
      </c>
      <c r="L10" s="255">
        <v>20.71</v>
      </c>
      <c r="M10" s="255">
        <v>28.64</v>
      </c>
      <c r="N10" s="255">
        <v>28.64</v>
      </c>
      <c r="O10" s="256">
        <v>1.48</v>
      </c>
    </row>
    <row r="11" spans="1:15">
      <c r="A11" s="233"/>
      <c r="B11" s="239" t="s">
        <v>502</v>
      </c>
      <c r="C11" s="240">
        <v>14</v>
      </c>
      <c r="D11" s="241">
        <v>1.2</v>
      </c>
      <c r="E11" s="241">
        <v>1.49</v>
      </c>
      <c r="F11" s="241">
        <v>1.1499999999999999</v>
      </c>
      <c r="G11" s="241">
        <v>1.46</v>
      </c>
      <c r="H11" s="242">
        <v>1.34</v>
      </c>
      <c r="K11" s="192" t="s">
        <v>543</v>
      </c>
      <c r="L11" s="255">
        <v>16.72</v>
      </c>
      <c r="M11" s="255">
        <v>28.08</v>
      </c>
      <c r="N11" s="255">
        <v>28.08</v>
      </c>
      <c r="O11" s="256">
        <v>1.48</v>
      </c>
    </row>
    <row r="12" spans="1:15">
      <c r="A12" s="233"/>
      <c r="B12" s="239" t="s">
        <v>503</v>
      </c>
      <c r="C12" s="240">
        <v>15</v>
      </c>
      <c r="D12" s="241">
        <v>1.1000000000000001</v>
      </c>
      <c r="E12" s="241">
        <v>1.1000000000000001</v>
      </c>
      <c r="F12" s="241">
        <v>1.21</v>
      </c>
      <c r="G12" s="241">
        <v>1.43</v>
      </c>
      <c r="H12" s="242">
        <v>1.31</v>
      </c>
      <c r="K12" s="260" t="s">
        <v>535</v>
      </c>
      <c r="L12" s="261">
        <v>11.58</v>
      </c>
      <c r="M12" s="261">
        <v>28.79</v>
      </c>
      <c r="N12" s="261">
        <v>28.79</v>
      </c>
      <c r="O12" s="262">
        <v>1.5</v>
      </c>
    </row>
    <row r="13" spans="1:15">
      <c r="A13" s="233"/>
      <c r="B13" s="239" t="s">
        <v>504</v>
      </c>
      <c r="C13" s="240">
        <v>16</v>
      </c>
      <c r="D13" s="241">
        <v>1.1299999999999999</v>
      </c>
      <c r="E13" s="241">
        <v>1.1599999999999999</v>
      </c>
      <c r="F13" s="241">
        <v>1.1499999999999999</v>
      </c>
      <c r="G13" s="241">
        <v>1.29</v>
      </c>
      <c r="H13" s="242">
        <v>1.26</v>
      </c>
      <c r="K13" s="192" t="s">
        <v>544</v>
      </c>
      <c r="L13" s="255">
        <v>12.41</v>
      </c>
      <c r="M13" s="255">
        <v>26.99</v>
      </c>
      <c r="N13" s="255">
        <v>26.99</v>
      </c>
      <c r="O13" s="256">
        <v>1.48</v>
      </c>
    </row>
    <row r="14" spans="1:15">
      <c r="A14" s="233"/>
      <c r="B14" s="250" t="s">
        <v>505</v>
      </c>
      <c r="C14" s="251">
        <v>17</v>
      </c>
      <c r="D14" s="252">
        <v>1.1200000000000001</v>
      </c>
      <c r="E14" s="252">
        <v>1.36</v>
      </c>
      <c r="F14" s="252">
        <v>1.3</v>
      </c>
      <c r="G14" s="252">
        <v>1.26</v>
      </c>
      <c r="H14" s="253">
        <v>1.41</v>
      </c>
      <c r="K14" s="192" t="s">
        <v>545</v>
      </c>
      <c r="L14" s="255">
        <v>13.52</v>
      </c>
      <c r="M14" s="255">
        <v>27.3</v>
      </c>
      <c r="N14" s="255">
        <v>27.3</v>
      </c>
      <c r="O14" s="256">
        <v>1.48</v>
      </c>
    </row>
    <row r="15" spans="1:15">
      <c r="A15" s="233"/>
      <c r="B15" s="239" t="s">
        <v>506</v>
      </c>
      <c r="C15" s="240">
        <v>18</v>
      </c>
      <c r="D15" s="241">
        <v>1.1000000000000001</v>
      </c>
      <c r="E15" s="241">
        <v>1.51</v>
      </c>
      <c r="F15" s="241">
        <v>1.19</v>
      </c>
      <c r="G15" s="241">
        <v>1.33</v>
      </c>
      <c r="H15" s="242">
        <v>1.31</v>
      </c>
      <c r="K15" s="192" t="s">
        <v>546</v>
      </c>
      <c r="L15" s="255">
        <v>10.4</v>
      </c>
      <c r="M15" s="255">
        <v>28.96</v>
      </c>
      <c r="N15" s="255">
        <v>28.96</v>
      </c>
      <c r="O15" s="256">
        <v>1.48</v>
      </c>
    </row>
    <row r="16" spans="1:15">
      <c r="A16" s="233"/>
      <c r="B16" s="239" t="s">
        <v>507</v>
      </c>
      <c r="C16" s="240">
        <v>19</v>
      </c>
      <c r="D16" s="241">
        <v>1.06</v>
      </c>
      <c r="E16" s="241">
        <v>1</v>
      </c>
      <c r="F16" s="241">
        <v>1.1599999999999999</v>
      </c>
      <c r="G16" s="241">
        <v>1.32</v>
      </c>
      <c r="H16" s="242">
        <v>1.47</v>
      </c>
      <c r="K16" s="192" t="s">
        <v>547</v>
      </c>
      <c r="L16" s="255">
        <v>12.02</v>
      </c>
      <c r="M16" s="255">
        <v>27.65</v>
      </c>
      <c r="N16" s="255">
        <v>27.65</v>
      </c>
      <c r="O16" s="256">
        <v>1.48</v>
      </c>
    </row>
    <row r="17" spans="1:15">
      <c r="A17" s="233"/>
      <c r="B17" s="239" t="s">
        <v>508</v>
      </c>
      <c r="C17" s="240">
        <v>20</v>
      </c>
      <c r="D17" s="241">
        <v>1.0900000000000001</v>
      </c>
      <c r="E17" s="241">
        <v>1.1200000000000001</v>
      </c>
      <c r="F17" s="241">
        <v>1.23</v>
      </c>
      <c r="G17" s="241">
        <v>1.35</v>
      </c>
      <c r="H17" s="242">
        <v>1.36</v>
      </c>
      <c r="K17" s="192" t="s">
        <v>548</v>
      </c>
      <c r="L17" s="255">
        <v>17.25</v>
      </c>
      <c r="M17" s="255">
        <v>27.63</v>
      </c>
      <c r="N17" s="255">
        <v>27.63</v>
      </c>
      <c r="O17" s="256">
        <v>1.48</v>
      </c>
    </row>
    <row r="18" spans="1:15">
      <c r="A18" s="233"/>
      <c r="B18" s="239" t="s">
        <v>509</v>
      </c>
      <c r="C18" s="240">
        <v>21</v>
      </c>
      <c r="D18" s="241">
        <v>1.1399999999999999</v>
      </c>
      <c r="E18" s="241">
        <v>1.01</v>
      </c>
      <c r="F18" s="241">
        <v>1.1499999999999999</v>
      </c>
      <c r="G18" s="241">
        <v>1.3</v>
      </c>
      <c r="H18" s="242">
        <v>1.55</v>
      </c>
      <c r="K18" s="192" t="s">
        <v>549</v>
      </c>
      <c r="L18" s="255">
        <v>8.44</v>
      </c>
      <c r="M18" s="255">
        <v>28.73</v>
      </c>
      <c r="N18" s="255">
        <v>28.73</v>
      </c>
      <c r="O18" s="256">
        <v>1.48</v>
      </c>
    </row>
    <row r="19" spans="1:15">
      <c r="A19" s="233"/>
      <c r="B19" s="239" t="s">
        <v>510</v>
      </c>
      <c r="C19" s="240">
        <v>16</v>
      </c>
      <c r="D19" s="241">
        <v>1.1299999999999999</v>
      </c>
      <c r="E19" s="241">
        <v>1.1599999999999999</v>
      </c>
      <c r="F19" s="241">
        <v>1.1499999999999999</v>
      </c>
      <c r="G19" s="241">
        <v>1.19</v>
      </c>
      <c r="H19" s="242">
        <v>1.26</v>
      </c>
      <c r="K19" s="192" t="s">
        <v>550</v>
      </c>
      <c r="L19" s="255">
        <v>10.33</v>
      </c>
      <c r="M19" s="255">
        <v>28.16</v>
      </c>
      <c r="N19" s="255">
        <v>28.16</v>
      </c>
      <c r="O19" s="256">
        <v>1.48</v>
      </c>
    </row>
    <row r="20" spans="1:15" ht="17.5" thickBot="1">
      <c r="A20" s="233"/>
      <c r="B20" s="239" t="s">
        <v>511</v>
      </c>
      <c r="C20" s="240">
        <v>18</v>
      </c>
      <c r="D20" s="241">
        <v>1.1000000000000001</v>
      </c>
      <c r="E20" s="241">
        <v>1.51</v>
      </c>
      <c r="F20" s="241">
        <v>1.19</v>
      </c>
      <c r="G20" s="241">
        <v>1.27</v>
      </c>
      <c r="H20" s="242">
        <v>1.31</v>
      </c>
      <c r="K20" s="193" t="s">
        <v>551</v>
      </c>
      <c r="L20" s="258">
        <v>14.59</v>
      </c>
      <c r="M20" s="258">
        <v>25.96</v>
      </c>
      <c r="N20" s="258">
        <v>25.96</v>
      </c>
      <c r="O20" s="259">
        <v>1.48</v>
      </c>
    </row>
    <row r="21" spans="1:15" ht="17.5" thickTop="1">
      <c r="A21" s="233"/>
      <c r="B21" s="239" t="s">
        <v>512</v>
      </c>
      <c r="C21" s="240">
        <v>18</v>
      </c>
      <c r="D21" s="241">
        <v>1.1000000000000001</v>
      </c>
      <c r="E21" s="241">
        <v>1.51</v>
      </c>
      <c r="F21" s="241">
        <v>1.19</v>
      </c>
      <c r="G21" s="241">
        <v>1.29</v>
      </c>
      <c r="H21" s="242">
        <v>1.31</v>
      </c>
    </row>
    <row r="22" spans="1:15">
      <c r="A22" s="233"/>
      <c r="B22" s="239" t="s">
        <v>513</v>
      </c>
      <c r="C22" s="240">
        <v>22</v>
      </c>
      <c r="D22" s="241">
        <v>1.06</v>
      </c>
      <c r="E22" s="241">
        <v>1.06</v>
      </c>
      <c r="F22" s="241">
        <v>1.1200000000000001</v>
      </c>
      <c r="G22" s="241">
        <v>1.38</v>
      </c>
      <c r="H22" s="242">
        <v>1.48</v>
      </c>
    </row>
    <row r="23" spans="1:15">
      <c r="A23" s="233"/>
      <c r="B23" s="239" t="s">
        <v>514</v>
      </c>
      <c r="C23" s="240">
        <v>23</v>
      </c>
      <c r="D23" s="241">
        <v>1.1499999999999999</v>
      </c>
      <c r="E23" s="241">
        <v>1.0900000000000001</v>
      </c>
      <c r="F23" s="241">
        <v>1.17</v>
      </c>
      <c r="G23" s="241">
        <v>1.35</v>
      </c>
      <c r="H23" s="242">
        <v>1.34</v>
      </c>
    </row>
    <row r="24" spans="1:15">
      <c r="A24" s="233"/>
      <c r="B24" s="239" t="s">
        <v>515</v>
      </c>
      <c r="C24" s="240">
        <v>24</v>
      </c>
      <c r="D24" s="241">
        <v>1.08</v>
      </c>
      <c r="E24" s="241">
        <v>1.1599999999999999</v>
      </c>
      <c r="F24" s="241">
        <v>1.37</v>
      </c>
      <c r="G24" s="241">
        <v>1.36</v>
      </c>
      <c r="H24" s="242">
        <v>1.48</v>
      </c>
    </row>
    <row r="25" spans="1:15">
      <c r="A25" s="233"/>
      <c r="B25" s="239" t="s">
        <v>516</v>
      </c>
      <c r="C25" s="240">
        <v>25</v>
      </c>
      <c r="D25" s="241">
        <v>1.22</v>
      </c>
      <c r="E25" s="241">
        <v>1.29</v>
      </c>
      <c r="F25" s="241">
        <v>1.26</v>
      </c>
      <c r="G25" s="241">
        <v>1.53</v>
      </c>
      <c r="H25" s="242">
        <v>1.45</v>
      </c>
    </row>
    <row r="26" spans="1:15">
      <c r="A26" s="233"/>
      <c r="B26" s="239" t="s">
        <v>517</v>
      </c>
      <c r="C26" s="240">
        <v>14</v>
      </c>
      <c r="D26" s="241">
        <v>1.2</v>
      </c>
      <c r="E26" s="241">
        <v>1.49</v>
      </c>
      <c r="F26" s="241">
        <v>1.1499999999999999</v>
      </c>
      <c r="G26" s="241">
        <v>1.4</v>
      </c>
      <c r="H26" s="242">
        <v>1.34</v>
      </c>
    </row>
    <row r="27" spans="1:15">
      <c r="A27" s="233"/>
      <c r="B27" s="239" t="s">
        <v>518</v>
      </c>
      <c r="C27" s="240">
        <v>26</v>
      </c>
      <c r="D27" s="241">
        <v>1.03</v>
      </c>
      <c r="E27" s="241">
        <v>1.1499999999999999</v>
      </c>
      <c r="F27" s="241">
        <v>1.17</v>
      </c>
      <c r="G27" s="241">
        <v>1.34</v>
      </c>
      <c r="H27" s="242">
        <v>1.32</v>
      </c>
    </row>
    <row r="28" spans="1:15">
      <c r="A28" s="233"/>
      <c r="B28" s="239" t="s">
        <v>519</v>
      </c>
      <c r="C28" s="240">
        <v>27</v>
      </c>
      <c r="D28" s="241">
        <v>1.06</v>
      </c>
      <c r="E28" s="241">
        <v>1.23</v>
      </c>
      <c r="F28" s="241">
        <v>1.1299999999999999</v>
      </c>
      <c r="G28" s="241">
        <v>1.31</v>
      </c>
      <c r="H28" s="242">
        <v>1.23</v>
      </c>
    </row>
    <row r="29" spans="1:15">
      <c r="A29" s="233"/>
      <c r="B29" s="239" t="s">
        <v>520</v>
      </c>
      <c r="C29" s="240">
        <v>28</v>
      </c>
      <c r="D29" s="241">
        <v>1.1499999999999999</v>
      </c>
      <c r="E29" s="241">
        <v>1.1399999999999999</v>
      </c>
      <c r="F29" s="241">
        <v>1.21</v>
      </c>
      <c r="G29" s="241">
        <v>1.35</v>
      </c>
      <c r="H29" s="242">
        <v>1.49</v>
      </c>
    </row>
    <row r="30" spans="1:15">
      <c r="A30" s="233"/>
      <c r="B30" s="239" t="s">
        <v>521</v>
      </c>
      <c r="C30" s="240">
        <v>15</v>
      </c>
      <c r="D30" s="241">
        <v>1.1000000000000001</v>
      </c>
      <c r="E30" s="241">
        <v>1.1000000000000001</v>
      </c>
      <c r="F30" s="241">
        <v>1.21</v>
      </c>
      <c r="G30" s="241">
        <v>1.36</v>
      </c>
      <c r="H30" s="242">
        <v>1.31</v>
      </c>
    </row>
    <row r="31" spans="1:15">
      <c r="A31" s="233"/>
      <c r="B31" s="239" t="s">
        <v>522</v>
      </c>
      <c r="C31" s="240">
        <v>15</v>
      </c>
      <c r="D31" s="241">
        <v>1.1000000000000001</v>
      </c>
      <c r="E31" s="241">
        <v>1.1000000000000001</v>
      </c>
      <c r="F31" s="241">
        <v>1.21</v>
      </c>
      <c r="G31" s="241">
        <v>1.36</v>
      </c>
      <c r="H31" s="242">
        <v>1.31</v>
      </c>
    </row>
    <row r="32" spans="1:15">
      <c r="A32" s="233"/>
      <c r="B32" s="239" t="s">
        <v>523</v>
      </c>
      <c r="C32" s="240">
        <v>25</v>
      </c>
      <c r="D32" s="241">
        <v>1.22</v>
      </c>
      <c r="E32" s="241">
        <v>1.29</v>
      </c>
      <c r="F32" s="241">
        <v>1.26</v>
      </c>
      <c r="G32" s="241">
        <v>1.56</v>
      </c>
      <c r="H32" s="242">
        <v>1.45</v>
      </c>
    </row>
    <row r="33" spans="1:10">
      <c r="A33" s="233"/>
      <c r="B33" s="239" t="s">
        <v>524</v>
      </c>
      <c r="C33" s="240">
        <v>15</v>
      </c>
      <c r="D33" s="241">
        <v>1.1000000000000001</v>
      </c>
      <c r="E33" s="241">
        <v>1.1000000000000001</v>
      </c>
      <c r="F33" s="241">
        <v>1.21</v>
      </c>
      <c r="G33" s="241">
        <v>1.3</v>
      </c>
      <c r="H33" s="242">
        <v>1.31</v>
      </c>
    </row>
    <row r="34" spans="1:10">
      <c r="A34" s="233"/>
      <c r="B34" s="239" t="s">
        <v>525</v>
      </c>
      <c r="C34" s="240">
        <v>29</v>
      </c>
      <c r="D34" s="241">
        <v>1.1499999999999999</v>
      </c>
      <c r="E34" s="241">
        <v>2.09</v>
      </c>
      <c r="F34" s="241">
        <v>1.23</v>
      </c>
      <c r="G34" s="241">
        <v>1.8</v>
      </c>
      <c r="H34" s="242">
        <v>1.47</v>
      </c>
    </row>
    <row r="35" spans="1:10" ht="17.5" thickBot="1">
      <c r="A35" s="234"/>
      <c r="B35" s="243" t="s">
        <v>526</v>
      </c>
      <c r="C35" s="244">
        <v>29</v>
      </c>
      <c r="D35" s="245">
        <v>1.1499999999999999</v>
      </c>
      <c r="E35" s="245">
        <v>2.09</v>
      </c>
      <c r="F35" s="245">
        <v>1.23</v>
      </c>
      <c r="G35" s="245">
        <v>1.52</v>
      </c>
      <c r="H35" s="246">
        <v>1.47</v>
      </c>
    </row>
    <row r="36" spans="1:10" ht="17.5" thickTop="1"/>
    <row r="38" spans="1:10" ht="23">
      <c r="A38" s="226" t="s">
        <v>561</v>
      </c>
      <c r="B38" s="227"/>
      <c r="C38" s="227"/>
      <c r="D38" s="227"/>
      <c r="E38" s="227"/>
      <c r="F38" s="227"/>
      <c r="G38" s="227"/>
      <c r="H38" s="227"/>
      <c r="I38" s="227"/>
      <c r="J38" s="227"/>
    </row>
  </sheetData>
  <mergeCells count="3">
    <mergeCell ref="A2:A3"/>
    <mergeCell ref="D2:H2"/>
    <mergeCell ref="B2:C3"/>
  </mergeCells>
  <phoneticPr fontId="2" type="noConversion"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H13"/>
  <sheetViews>
    <sheetView workbookViewId="0">
      <selection activeCell="E8" sqref="E8"/>
    </sheetView>
  </sheetViews>
  <sheetFormatPr defaultRowHeight="17"/>
  <cols>
    <col min="7" max="7" width="11.25" bestFit="1" customWidth="1"/>
  </cols>
  <sheetData>
    <row r="1" spans="1:8">
      <c r="A1" t="s">
        <v>842</v>
      </c>
      <c r="B1" t="s">
        <v>844</v>
      </c>
    </row>
    <row r="2" spans="1:8">
      <c r="B2" t="s">
        <v>843</v>
      </c>
    </row>
    <row r="3" spans="1:8">
      <c r="B3" t="s">
        <v>850</v>
      </c>
    </row>
    <row r="5" spans="1:8">
      <c r="A5" t="s">
        <v>848</v>
      </c>
    </row>
    <row r="6" spans="1:8">
      <c r="C6" t="s">
        <v>834</v>
      </c>
      <c r="D6" t="s">
        <v>835</v>
      </c>
      <c r="E6" t="s">
        <v>836</v>
      </c>
      <c r="F6" t="s">
        <v>837</v>
      </c>
      <c r="G6" t="s">
        <v>838</v>
      </c>
      <c r="H6" t="s">
        <v>839</v>
      </c>
    </row>
    <row r="7" spans="1:8">
      <c r="B7" t="s">
        <v>840</v>
      </c>
      <c r="C7">
        <v>3.3276365000000002E-2</v>
      </c>
      <c r="D7">
        <v>4.1014570000000002E-3</v>
      </c>
      <c r="E7">
        <v>-5.765081E-3</v>
      </c>
      <c r="F7">
        <v>-7.9329919999999998E-3</v>
      </c>
      <c r="G7">
        <v>-1.0003636E-2</v>
      </c>
      <c r="H7">
        <v>-1.3263053E-2</v>
      </c>
    </row>
    <row r="8" spans="1:8">
      <c r="B8" t="s">
        <v>841</v>
      </c>
      <c r="C8">
        <v>3.3276365000000002E-2</v>
      </c>
      <c r="D8">
        <v>4.1014570000000002E-3</v>
      </c>
      <c r="E8">
        <v>-5.765081E-3</v>
      </c>
      <c r="F8">
        <v>-7.9329919999999998E-3</v>
      </c>
      <c r="G8">
        <v>-1.0003636E-2</v>
      </c>
      <c r="H8">
        <v>-1.3263053E-2</v>
      </c>
    </row>
    <row r="10" spans="1:8">
      <c r="A10" t="s">
        <v>849</v>
      </c>
    </row>
    <row r="11" spans="1:8">
      <c r="C11" t="s">
        <v>834</v>
      </c>
      <c r="D11" t="s">
        <v>835</v>
      </c>
      <c r="E11" t="s">
        <v>836</v>
      </c>
      <c r="F11" t="s">
        <v>837</v>
      </c>
      <c r="G11" t="s">
        <v>838</v>
      </c>
      <c r="H11" t="s">
        <v>839</v>
      </c>
    </row>
    <row r="12" spans="1:8">
      <c r="B12" t="s">
        <v>840</v>
      </c>
      <c r="C12">
        <v>6.5363019999999999E-3</v>
      </c>
      <c r="D12">
        <v>4.8167230000000002E-3</v>
      </c>
      <c r="E12">
        <v>3.635381E-3</v>
      </c>
      <c r="F12">
        <v>2.8425770000000002E-3</v>
      </c>
      <c r="G12">
        <v>2.8586530000000001E-3</v>
      </c>
      <c r="H12">
        <v>2.8770100000000002E-3</v>
      </c>
    </row>
    <row r="13" spans="1:8">
      <c r="B13" t="s">
        <v>841</v>
      </c>
      <c r="C13">
        <v>6.6108679999999998E-3</v>
      </c>
      <c r="D13">
        <v>4.8407060000000002E-3</v>
      </c>
      <c r="E13">
        <v>3.6351869999999998E-3</v>
      </c>
      <c r="F13">
        <v>2.8304570000000002E-3</v>
      </c>
      <c r="G13">
        <v>2.837886E-3</v>
      </c>
      <c r="H13">
        <v>2.8418079999999999E-3</v>
      </c>
    </row>
  </sheetData>
  <phoneticPr fontId="2" type="noConversion"/>
  <pageMargins left="0.7" right="0.7" top="0.75" bottom="0.75" header="0.3" footer="0.3"/>
  <legacy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2:AB15"/>
  <sheetViews>
    <sheetView workbookViewId="0">
      <selection activeCell="A4" sqref="A4"/>
    </sheetView>
  </sheetViews>
  <sheetFormatPr defaultRowHeight="17"/>
  <cols>
    <col min="7" max="7" width="11.25" bestFit="1" customWidth="1"/>
    <col min="23" max="23" width="12.5" bestFit="1" customWidth="1"/>
  </cols>
  <sheetData>
    <row r="2" spans="1:28">
      <c r="A2" t="s">
        <v>900</v>
      </c>
      <c r="K2" s="32" t="s">
        <v>459</v>
      </c>
      <c r="S2" s="32" t="s">
        <v>460</v>
      </c>
    </row>
    <row r="3" spans="1:28">
      <c r="A3" s="194"/>
      <c r="B3" s="194" t="s">
        <v>427</v>
      </c>
      <c r="C3" s="194" t="s">
        <v>428</v>
      </c>
      <c r="D3" s="194" t="s">
        <v>429</v>
      </c>
      <c r="E3" s="194" t="s">
        <v>430</v>
      </c>
      <c r="F3" s="194" t="s">
        <v>431</v>
      </c>
      <c r="G3" s="194" t="s">
        <v>458</v>
      </c>
      <c r="K3" s="194"/>
      <c r="L3" s="194" t="s">
        <v>427</v>
      </c>
      <c r="M3" s="194" t="s">
        <v>428</v>
      </c>
      <c r="N3" s="194" t="s">
        <v>429</v>
      </c>
      <c r="O3" s="194" t="s">
        <v>430</v>
      </c>
      <c r="P3" s="194" t="s">
        <v>431</v>
      </c>
      <c r="Q3" s="194" t="s">
        <v>458</v>
      </c>
      <c r="S3" s="194"/>
      <c r="T3" s="194" t="s">
        <v>427</v>
      </c>
      <c r="U3" s="197" t="s">
        <v>428</v>
      </c>
      <c r="V3" s="194" t="s">
        <v>429</v>
      </c>
      <c r="W3" s="194" t="s">
        <v>430</v>
      </c>
      <c r="X3" s="194" t="s">
        <v>431</v>
      </c>
      <c r="AB3" t="s">
        <v>428</v>
      </c>
    </row>
    <row r="4" spans="1:28">
      <c r="A4" s="194" t="s">
        <v>427</v>
      </c>
      <c r="B4" s="194">
        <v>2399205.0151480702</v>
      </c>
      <c r="C4" s="194">
        <v>17247.819948879998</v>
      </c>
      <c r="D4" s="194">
        <v>182042.399488002</v>
      </c>
      <c r="E4" s="194">
        <v>10401.958398922199</v>
      </c>
      <c r="F4" s="194">
        <v>5964.3396517440797</v>
      </c>
      <c r="G4">
        <f>SUM(B4:F4)</f>
        <v>2614861.5326356185</v>
      </c>
      <c r="K4" s="194" t="s">
        <v>427</v>
      </c>
      <c r="L4" s="194">
        <f>B4/$G4</f>
        <v>0.91752660139132491</v>
      </c>
      <c r="M4" s="194">
        <f t="shared" ref="M4:P5" si="0">C4/$G4</f>
        <v>6.5960739158127677E-3</v>
      </c>
      <c r="N4" s="194">
        <f t="shared" si="0"/>
        <v>6.9618370692276985E-2</v>
      </c>
      <c r="O4" s="194">
        <f t="shared" si="0"/>
        <v>3.9780149996843884E-3</v>
      </c>
      <c r="P4" s="194">
        <f t="shared" si="0"/>
        <v>2.2809390009008983E-3</v>
      </c>
      <c r="Q4">
        <f>SUM(L4:P4)</f>
        <v>0.99999999999999989</v>
      </c>
      <c r="S4" s="194" t="s">
        <v>427</v>
      </c>
      <c r="T4" s="194">
        <f>B4/B$9</f>
        <v>0.91347736792042333</v>
      </c>
      <c r="U4" s="197">
        <f t="shared" ref="U4:U8" si="1">C4/C$9</f>
        <v>0.11553344389165264</v>
      </c>
      <c r="V4" s="194">
        <f t="shared" ref="V4:V8" si="2">D4/D$9</f>
        <v>0.118731273538052</v>
      </c>
      <c r="W4" s="194">
        <f t="shared" ref="W4:W8" si="3">E4/E$9</f>
        <v>2.7697778251300941E-2</v>
      </c>
      <c r="X4" s="194">
        <f t="shared" ref="X4:X8" si="4">F4/F$9</f>
        <v>9.5415592816178071E-5</v>
      </c>
      <c r="AB4">
        <v>0.11553344389165274</v>
      </c>
    </row>
    <row r="5" spans="1:28">
      <c r="A5" s="194" t="s">
        <v>428</v>
      </c>
      <c r="B5" s="194">
        <v>16052.451247188799</v>
      </c>
      <c r="C5" s="194">
        <v>124826.001558409</v>
      </c>
      <c r="D5" s="194">
        <v>5532.9565951713903</v>
      </c>
      <c r="E5" s="194">
        <v>15.004628054702</v>
      </c>
      <c r="F5" s="194">
        <v>42.513112821656001</v>
      </c>
      <c r="G5">
        <f t="shared" ref="G5:G8" si="5">SUM(B5:F5)</f>
        <v>146468.92714164554</v>
      </c>
      <c r="K5" s="197" t="s">
        <v>428</v>
      </c>
      <c r="L5" s="197">
        <f t="shared" ref="L5" si="6">B5/$G5</f>
        <v>0.10959629158521092</v>
      </c>
      <c r="M5" s="197">
        <f t="shared" si="0"/>
        <v>0.85223537848197428</v>
      </c>
      <c r="N5" s="197">
        <f t="shared" si="0"/>
        <v>3.7775634075756147E-2</v>
      </c>
      <c r="O5" s="197">
        <f t="shared" si="0"/>
        <v>1.0244239749357548E-4</v>
      </c>
      <c r="P5" s="197">
        <f t="shared" si="0"/>
        <v>2.9025345956513283E-4</v>
      </c>
      <c r="Q5" s="34">
        <f t="shared" ref="Q5:Q8" si="7">SUM(L5:P5)</f>
        <v>1</v>
      </c>
      <c r="S5" s="194" t="s">
        <v>428</v>
      </c>
      <c r="T5" s="194">
        <f t="shared" ref="T5:T8" si="8">B5/B$9</f>
        <v>6.1118373883725652E-3</v>
      </c>
      <c r="U5" s="197">
        <f t="shared" si="1"/>
        <v>0.836139169472503</v>
      </c>
      <c r="V5" s="194">
        <f t="shared" si="2"/>
        <v>3.6086921773339966E-3</v>
      </c>
      <c r="W5" s="194">
        <f t="shared" si="3"/>
        <v>3.9953520737541787E-5</v>
      </c>
      <c r="X5" s="194">
        <f t="shared" si="4"/>
        <v>6.8011114376311552E-7</v>
      </c>
      <c r="AB5">
        <v>0.836139169472503</v>
      </c>
    </row>
    <row r="6" spans="1:28">
      <c r="A6" s="194" t="s">
        <v>429</v>
      </c>
      <c r="B6" s="194">
        <v>201484.64628988199</v>
      </c>
      <c r="C6" s="194">
        <v>7160.9587391065697</v>
      </c>
      <c r="D6" s="194">
        <v>1216769.05245428</v>
      </c>
      <c r="E6" s="194">
        <v>21199.038669951598</v>
      </c>
      <c r="F6" s="194">
        <v>55412.091406014799</v>
      </c>
      <c r="G6">
        <f t="shared" si="5"/>
        <v>1502025.7875592348</v>
      </c>
      <c r="K6" s="194" t="s">
        <v>429</v>
      </c>
      <c r="L6" s="194">
        <f t="shared" ref="L6" si="9">B6/$G6</f>
        <v>0.13414193548387141</v>
      </c>
      <c r="M6" s="194">
        <f t="shared" ref="M6" si="10">C6/$G6</f>
        <v>4.7675338189386218E-3</v>
      </c>
      <c r="N6" s="194">
        <f t="shared" ref="N6" si="11">D6/$G6</f>
        <v>0.81008532778355824</v>
      </c>
      <c r="O6" s="194">
        <f t="shared" ref="O6" si="12">E6/$G6</f>
        <v>1.4113631633714931E-2</v>
      </c>
      <c r="P6" s="194">
        <f t="shared" ref="P6" si="13">F6/$G6</f>
        <v>3.6891571279916879E-2</v>
      </c>
      <c r="Q6">
        <f t="shared" si="7"/>
        <v>1</v>
      </c>
      <c r="S6" s="194" t="s">
        <v>429</v>
      </c>
      <c r="T6" s="194">
        <f t="shared" si="8"/>
        <v>7.6713604384450615E-2</v>
      </c>
      <c r="U6" s="197">
        <f t="shared" si="1"/>
        <v>4.7967234534398759E-2</v>
      </c>
      <c r="V6" s="194">
        <f t="shared" si="2"/>
        <v>0.79359830240595708</v>
      </c>
      <c r="W6" s="194">
        <f t="shared" si="3"/>
        <v>5.6447665882023948E-2</v>
      </c>
      <c r="X6" s="194">
        <f t="shared" si="4"/>
        <v>8.8646486608841648E-4</v>
      </c>
      <c r="AB6">
        <v>4.796723453439862E-2</v>
      </c>
    </row>
    <row r="7" spans="1:28">
      <c r="A7" s="194" t="s">
        <v>430</v>
      </c>
      <c r="B7" s="194">
        <v>8082.4929787995297</v>
      </c>
      <c r="C7" s="194">
        <v>11.2534710410266</v>
      </c>
      <c r="D7" s="194">
        <v>21602.913241757298</v>
      </c>
      <c r="E7" s="194">
        <v>343936.08426988102</v>
      </c>
      <c r="F7" s="194">
        <v>0</v>
      </c>
      <c r="G7">
        <f t="shared" si="5"/>
        <v>373632.74396147887</v>
      </c>
      <c r="K7" s="194" t="s">
        <v>430</v>
      </c>
      <c r="L7" s="194">
        <f t="shared" ref="L7:L8" si="14">B7/$G7</f>
        <v>2.1632185908290805E-2</v>
      </c>
      <c r="M7" s="194">
        <f t="shared" ref="M7:M8" si="15">C7/$G7</f>
        <v>3.0119070726271306E-5</v>
      </c>
      <c r="N7" s="194">
        <f t="shared" ref="N7:N8" si="16">D7/$G7</f>
        <v>5.7818576104198549E-2</v>
      </c>
      <c r="O7" s="194">
        <f t="shared" ref="O7:O8" si="17">E7/$G7</f>
        <v>0.9205191189167844</v>
      </c>
      <c r="P7" s="194">
        <f t="shared" ref="P7:P8" si="18">F7/$G7</f>
        <v>0</v>
      </c>
      <c r="Q7">
        <f t="shared" si="7"/>
        <v>1</v>
      </c>
      <c r="S7" s="194" t="s">
        <v>430</v>
      </c>
      <c r="T7" s="194">
        <f t="shared" si="8"/>
        <v>3.0773420220003306E-3</v>
      </c>
      <c r="U7" s="197">
        <f t="shared" si="1"/>
        <v>7.538067239559809E-5</v>
      </c>
      <c r="V7" s="194">
        <f t="shared" si="2"/>
        <v>1.4089802202892524E-2</v>
      </c>
      <c r="W7" s="194">
        <f t="shared" si="3"/>
        <v>0.91581460234593748</v>
      </c>
      <c r="X7" s="194">
        <f t="shared" si="4"/>
        <v>0</v>
      </c>
      <c r="AB7">
        <v>7.538067239559748E-5</v>
      </c>
    </row>
    <row r="8" spans="1:28">
      <c r="A8" s="194" t="s">
        <v>431</v>
      </c>
      <c r="B8" s="194">
        <v>1628.0021439351799</v>
      </c>
      <c r="C8" s="194">
        <v>42.513112821655902</v>
      </c>
      <c r="D8" s="194">
        <v>107283.09059112</v>
      </c>
      <c r="E8" s="194">
        <v>0</v>
      </c>
      <c r="F8" s="194">
        <v>62447647.715768501</v>
      </c>
      <c r="G8">
        <f t="shared" si="5"/>
        <v>62556601.321616381</v>
      </c>
      <c r="K8" s="194" t="s">
        <v>431</v>
      </c>
      <c r="L8" s="194">
        <f t="shared" si="14"/>
        <v>2.6024465996246907E-5</v>
      </c>
      <c r="M8" s="194">
        <f t="shared" si="15"/>
        <v>6.7959435013240614E-7</v>
      </c>
      <c r="N8" s="194">
        <f t="shared" si="16"/>
        <v>1.71497633062825E-3</v>
      </c>
      <c r="O8" s="194">
        <f t="shared" si="17"/>
        <v>0</v>
      </c>
      <c r="P8" s="194">
        <f t="shared" si="18"/>
        <v>0.99825831960902534</v>
      </c>
      <c r="Q8">
        <f t="shared" si="7"/>
        <v>1</v>
      </c>
      <c r="S8" s="194" t="s">
        <v>431</v>
      </c>
      <c r="T8" s="194">
        <f t="shared" si="8"/>
        <v>6.1984828475316158E-4</v>
      </c>
      <c r="U8" s="197">
        <f t="shared" si="1"/>
        <v>2.8477142905003629E-4</v>
      </c>
      <c r="V8" s="194">
        <f t="shared" si="2"/>
        <v>6.9971929675764377E-2</v>
      </c>
      <c r="W8" s="194">
        <f t="shared" si="3"/>
        <v>0</v>
      </c>
      <c r="X8" s="194">
        <f t="shared" si="4"/>
        <v>0.99901743942995169</v>
      </c>
      <c r="AB8">
        <v>2.8477142905003597E-4</v>
      </c>
    </row>
    <row r="9" spans="1:28">
      <c r="A9" s="194" t="s">
        <v>458</v>
      </c>
      <c r="B9">
        <f>SUM(B4:B8)</f>
        <v>2626452.6078078756</v>
      </c>
      <c r="C9">
        <f t="shared" ref="C9:F9" si="19">SUM(C4:C8)</f>
        <v>149288.54683025824</v>
      </c>
      <c r="D9">
        <f t="shared" si="19"/>
        <v>1533230.4123703307</v>
      </c>
      <c r="E9">
        <f t="shared" si="19"/>
        <v>375552.08596680954</v>
      </c>
      <c r="F9">
        <f t="shared" si="19"/>
        <v>62509066.65993908</v>
      </c>
      <c r="G9">
        <f>SUM(G4:G8)</f>
        <v>67193590.312914357</v>
      </c>
      <c r="H9" t="b">
        <f>SUM(B9:F9)=G9</f>
        <v>1</v>
      </c>
      <c r="K9" s="194"/>
      <c r="S9" s="194" t="s">
        <v>458</v>
      </c>
      <c r="T9">
        <f>SUM(T4:T8)</f>
        <v>1.0000000000000002</v>
      </c>
      <c r="U9" s="34">
        <f t="shared" ref="U9" si="20">SUM(U4:U8)</f>
        <v>1.0000000000000002</v>
      </c>
      <c r="V9">
        <f t="shared" ref="V9" si="21">SUM(V4:V8)</f>
        <v>1</v>
      </c>
      <c r="W9">
        <f t="shared" ref="W9" si="22">SUM(W4:W8)</f>
        <v>0.99999999999999989</v>
      </c>
      <c r="X9">
        <f t="shared" ref="X9" si="23">SUM(X4:X8)</f>
        <v>1</v>
      </c>
      <c r="AB9">
        <v>1.0000000000000002</v>
      </c>
    </row>
    <row r="11" spans="1:28" ht="30">
      <c r="A11" s="196"/>
      <c r="B11">
        <f t="shared" ref="B11:E11" si="24">B5/$G$5</f>
        <v>0.10959629158521092</v>
      </c>
      <c r="C11">
        <f t="shared" si="24"/>
        <v>0.85223537848197428</v>
      </c>
      <c r="D11">
        <f t="shared" si="24"/>
        <v>3.7775634075756147E-2</v>
      </c>
      <c r="E11">
        <f t="shared" si="24"/>
        <v>1.0244239749357548E-4</v>
      </c>
      <c r="F11">
        <f>F5/$G$5</f>
        <v>2.9025345956513283E-4</v>
      </c>
      <c r="K11" s="199"/>
      <c r="L11" s="200" t="s">
        <v>427</v>
      </c>
      <c r="M11" s="200" t="s">
        <v>428</v>
      </c>
      <c r="N11" s="200" t="s">
        <v>429</v>
      </c>
      <c r="O11" s="200" t="s">
        <v>430</v>
      </c>
      <c r="P11" s="200" t="s">
        <v>431</v>
      </c>
      <c r="Q11" s="200" t="s">
        <v>461</v>
      </c>
      <c r="S11" s="199"/>
      <c r="T11" s="200" t="s">
        <v>427</v>
      </c>
      <c r="U11" s="200" t="s">
        <v>428</v>
      </c>
      <c r="V11" s="200" t="s">
        <v>429</v>
      </c>
      <c r="W11" s="200" t="s">
        <v>430</v>
      </c>
      <c r="X11" s="200" t="s">
        <v>431</v>
      </c>
      <c r="Y11" s="200" t="s">
        <v>461</v>
      </c>
    </row>
    <row r="12" spans="1:28">
      <c r="K12" s="200" t="s">
        <v>428</v>
      </c>
      <c r="L12" s="200">
        <f>L5</f>
        <v>0.10959629158521092</v>
      </c>
      <c r="M12" s="200">
        <f t="shared" ref="M12:Q12" si="25">M5</f>
        <v>0.85223537848197428</v>
      </c>
      <c r="N12" s="200">
        <f t="shared" si="25"/>
        <v>3.7775634075756147E-2</v>
      </c>
      <c r="O12" s="200">
        <f t="shared" si="25"/>
        <v>1.0244239749357548E-4</v>
      </c>
      <c r="P12" s="200">
        <f t="shared" si="25"/>
        <v>2.9025345956513283E-4</v>
      </c>
      <c r="Q12" s="200">
        <f t="shared" si="25"/>
        <v>1</v>
      </c>
      <c r="S12" s="199" t="s">
        <v>428</v>
      </c>
      <c r="T12" s="199">
        <f>U4</f>
        <v>0.11553344389165264</v>
      </c>
      <c r="U12" s="199">
        <f>U5</f>
        <v>0.836139169472503</v>
      </c>
      <c r="V12" s="199">
        <f>U6</f>
        <v>4.7967234534398759E-2</v>
      </c>
      <c r="W12" s="199">
        <f>U7</f>
        <v>7.538067239559809E-5</v>
      </c>
      <c r="X12" s="199">
        <f>U8</f>
        <v>2.8477142905003629E-4</v>
      </c>
      <c r="Y12" s="199">
        <f>U9</f>
        <v>1.0000000000000002</v>
      </c>
    </row>
    <row r="13" spans="1:28">
      <c r="Q13" t="b">
        <f>SUM(L12:P12)=Q12</f>
        <v>1</v>
      </c>
      <c r="Y13" t="b">
        <f>SUM(T12:X12)=Y12</f>
        <v>1</v>
      </c>
    </row>
    <row r="15" spans="1:28" ht="30">
      <c r="A15" s="195"/>
    </row>
  </sheetData>
  <phoneticPr fontId="2" type="noConversion"/>
  <pageMargins left="0.7" right="0.7" top="0.75" bottom="0.75" header="0.3" footer="0.3"/>
  <legacy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79998168889431442"/>
  </sheetPr>
  <dimension ref="A1:P28"/>
  <sheetViews>
    <sheetView workbookViewId="0">
      <selection activeCell="G15" sqref="G15"/>
    </sheetView>
  </sheetViews>
  <sheetFormatPr defaultRowHeight="17"/>
  <cols>
    <col min="1" max="1" width="38" style="427" bestFit="1" customWidth="1"/>
    <col min="2" max="9" width="8.6640625" style="427"/>
    <col min="10" max="10" width="40.5" style="427" bestFit="1" customWidth="1"/>
    <col min="11" max="16384" width="8.6640625" style="427"/>
  </cols>
  <sheetData>
    <row r="1" spans="1:16" s="426" customFormat="1" ht="23">
      <c r="A1" s="425" t="s">
        <v>868</v>
      </c>
    </row>
    <row r="2" spans="1:16">
      <c r="J2" s="427" t="s">
        <v>869</v>
      </c>
      <c r="K2" s="427" t="s">
        <v>870</v>
      </c>
    </row>
    <row r="3" spans="1:16">
      <c r="B3" s="427" t="s">
        <v>871</v>
      </c>
      <c r="C3" s="427" t="s">
        <v>872</v>
      </c>
      <c r="D3" s="427" t="s">
        <v>873</v>
      </c>
      <c r="E3" s="427" t="s">
        <v>874</v>
      </c>
      <c r="F3" s="427" t="s">
        <v>875</v>
      </c>
      <c r="G3" s="427" t="s">
        <v>876</v>
      </c>
    </row>
    <row r="4" spans="1:16">
      <c r="A4" s="427">
        <v>2025</v>
      </c>
      <c r="B4" s="427">
        <v>22151.49</v>
      </c>
      <c r="C4" s="427">
        <v>22461.8</v>
      </c>
      <c r="D4" s="427">
        <v>42.683999999999997</v>
      </c>
      <c r="E4" s="427">
        <v>25.37</v>
      </c>
      <c r="F4" s="427">
        <v>1517.5440000000001</v>
      </c>
      <c r="G4" s="427">
        <v>1573.2439999999999</v>
      </c>
    </row>
    <row r="5" spans="1:16">
      <c r="A5" s="427">
        <v>2020</v>
      </c>
      <c r="B5" s="427">
        <v>16523.95</v>
      </c>
      <c r="C5" s="427">
        <v>16937.05</v>
      </c>
      <c r="D5" s="427">
        <v>21.37</v>
      </c>
      <c r="E5" s="427">
        <v>14.486000000000001</v>
      </c>
      <c r="F5" s="427">
        <v>1466.248</v>
      </c>
      <c r="G5" s="427">
        <v>1518.346</v>
      </c>
    </row>
    <row r="6" spans="1:16">
      <c r="A6" s="428">
        <v>2019</v>
      </c>
      <c r="B6" s="428">
        <f>B5/(1+B8)</f>
        <v>15537.154544211986</v>
      </c>
      <c r="C6" s="428">
        <f t="shared" ref="C6:G6" si="0">C5/(1+C8)</f>
        <v>15955.912810422771</v>
      </c>
      <c r="D6" s="428">
        <f t="shared" si="0"/>
        <v>18.998325019526163</v>
      </c>
      <c r="E6" s="428">
        <f t="shared" si="0"/>
        <v>13.082831511872131</v>
      </c>
      <c r="F6" s="428">
        <f t="shared" si="0"/>
        <v>1453.9613053278688</v>
      </c>
      <c r="G6" s="428">
        <f t="shared" si="0"/>
        <v>1505.2149645213499</v>
      </c>
    </row>
    <row r="8" spans="1:16">
      <c r="A8" s="427" t="s">
        <v>877</v>
      </c>
      <c r="B8" s="427">
        <f>(1-B5/B4)/4</f>
        <v>6.3511980458199419E-2</v>
      </c>
      <c r="C8" s="427">
        <f>(1-C5/C4)/4</f>
        <v>6.1490508329697546E-2</v>
      </c>
      <c r="D8" s="427">
        <f t="shared" ref="D8:G8" si="1">(1-D5/D4)/4</f>
        <v>0.12483600412332488</v>
      </c>
      <c r="E8" s="427">
        <f t="shared" si="1"/>
        <v>0.10725266062278282</v>
      </c>
      <c r="F8" s="427">
        <f t="shared" si="1"/>
        <v>8.4504963282777956E-3</v>
      </c>
      <c r="G8" s="427">
        <f t="shared" si="1"/>
        <v>8.7236944809578054E-3</v>
      </c>
    </row>
    <row r="9" spans="1:16">
      <c r="A9" s="427" t="s">
        <v>878</v>
      </c>
    </row>
    <row r="11" spans="1:16">
      <c r="J11" s="427" t="s">
        <v>879</v>
      </c>
    </row>
    <row r="12" spans="1:16">
      <c r="A12" s="429" t="s">
        <v>880</v>
      </c>
      <c r="B12" s="427">
        <f>B4-B6</f>
        <v>6614.3354557880157</v>
      </c>
      <c r="C12" s="427">
        <f t="shared" ref="C12:G12" si="2">C4-C6</f>
        <v>6505.8871895772281</v>
      </c>
      <c r="D12" s="427">
        <f t="shared" si="2"/>
        <v>23.685674980473834</v>
      </c>
      <c r="E12" s="427">
        <f t="shared" si="2"/>
        <v>12.28716848812787</v>
      </c>
      <c r="F12" s="427">
        <f t="shared" si="2"/>
        <v>63.582694672131311</v>
      </c>
      <c r="G12" s="427">
        <f t="shared" si="2"/>
        <v>68.02903547865003</v>
      </c>
      <c r="K12" s="427" t="s">
        <v>881</v>
      </c>
      <c r="L12" s="427" t="s">
        <v>882</v>
      </c>
      <c r="M12" s="427" t="s">
        <v>873</v>
      </c>
      <c r="N12" s="427" t="s">
        <v>874</v>
      </c>
      <c r="O12" s="427" t="s">
        <v>883</v>
      </c>
      <c r="P12" s="427" t="s">
        <v>876</v>
      </c>
    </row>
    <row r="13" spans="1:16">
      <c r="A13" s="430" t="s">
        <v>884</v>
      </c>
      <c r="B13" s="427">
        <f>B$12*B23</f>
        <v>-136.96839873709013</v>
      </c>
      <c r="C13" s="427">
        <f t="shared" ref="C13:G13" si="3">C$12*C23</f>
        <v>-1.4597098527887793</v>
      </c>
      <c r="D13" s="427">
        <f t="shared" si="3"/>
        <v>1.3291239043173875</v>
      </c>
      <c r="E13" s="427">
        <f t="shared" si="3"/>
        <v>1.2486659246635243</v>
      </c>
      <c r="F13" s="427">
        <f t="shared" si="3"/>
        <v>2.2241281513909459</v>
      </c>
      <c r="G13" s="427">
        <f t="shared" si="3"/>
        <v>2.4579039193629422</v>
      </c>
      <c r="J13" s="427">
        <v>2025</v>
      </c>
      <c r="K13" s="427">
        <f>B$12+B13</f>
        <v>6477.3670570509257</v>
      </c>
      <c r="L13" s="427">
        <f t="shared" ref="L13:P13" si="4">C$12+C13</f>
        <v>6504.4274797244398</v>
      </c>
      <c r="M13" s="427">
        <f t="shared" si="4"/>
        <v>25.014798884791222</v>
      </c>
      <c r="N13" s="427">
        <f t="shared" si="4"/>
        <v>13.535834412791395</v>
      </c>
      <c r="O13" s="427">
        <f t="shared" si="4"/>
        <v>65.806822823522253</v>
      </c>
      <c r="P13" s="427">
        <f t="shared" si="4"/>
        <v>70.486939398012979</v>
      </c>
    </row>
    <row r="14" spans="1:16">
      <c r="A14" s="430" t="s">
        <v>885</v>
      </c>
      <c r="B14" s="427">
        <f t="shared" ref="B14:G18" si="5">B$12*B24</f>
        <v>-19.951699192108912</v>
      </c>
      <c r="C14" s="427">
        <f t="shared" si="5"/>
        <v>-66.15324538206842</v>
      </c>
      <c r="D14" s="427">
        <f t="shared" si="5"/>
        <v>7.3231419430618866E-2</v>
      </c>
      <c r="E14" s="427">
        <f t="shared" si="5"/>
        <v>-5.1045944773560413E-2</v>
      </c>
      <c r="F14" s="427">
        <f t="shared" si="5"/>
        <v>1.6410989623185865</v>
      </c>
      <c r="G14" s="427">
        <f t="shared" si="5"/>
        <v>1.8014039743476842</v>
      </c>
      <c r="J14" s="427">
        <v>2030</v>
      </c>
      <c r="K14" s="427">
        <f>K13+B14</f>
        <v>6457.4153578588166</v>
      </c>
      <c r="L14" s="427">
        <f t="shared" ref="L14:P18" si="6">L13+C14</f>
        <v>6438.2742343423715</v>
      </c>
      <c r="M14" s="427">
        <f t="shared" si="6"/>
        <v>25.088030304221842</v>
      </c>
      <c r="N14" s="427">
        <f t="shared" si="6"/>
        <v>13.484788468017834</v>
      </c>
      <c r="O14" s="427">
        <f t="shared" si="6"/>
        <v>67.447921785840833</v>
      </c>
      <c r="P14" s="427">
        <f t="shared" si="6"/>
        <v>72.288343372360657</v>
      </c>
    </row>
    <row r="15" spans="1:16">
      <c r="A15" s="430" t="s">
        <v>886</v>
      </c>
      <c r="B15" s="427">
        <f t="shared" si="5"/>
        <v>-175.08411810760236</v>
      </c>
      <c r="C15" s="427">
        <f t="shared" si="5"/>
        <v>-158.15057395623887</v>
      </c>
      <c r="D15" s="427">
        <f t="shared" si="5"/>
        <v>-0.29825580358050607</v>
      </c>
      <c r="E15" s="427">
        <f t="shared" si="5"/>
        <v>-0.31596957959006705</v>
      </c>
      <c r="F15" s="427">
        <f t="shared" si="5"/>
        <v>1.2394406852863418</v>
      </c>
      <c r="G15" s="427">
        <f t="shared" si="5"/>
        <v>1.3535825727464796</v>
      </c>
      <c r="J15" s="427">
        <v>2035</v>
      </c>
      <c r="K15" s="427">
        <f t="shared" ref="K15:K18" si="7">K14+B15</f>
        <v>6282.3312397512145</v>
      </c>
      <c r="L15" s="427">
        <f t="shared" si="6"/>
        <v>6280.1236603861325</v>
      </c>
      <c r="M15" s="427">
        <f t="shared" si="6"/>
        <v>24.789774500641336</v>
      </c>
      <c r="N15" s="427">
        <f t="shared" si="6"/>
        <v>13.168818888427767</v>
      </c>
      <c r="O15" s="427">
        <f t="shared" si="6"/>
        <v>68.687362471127173</v>
      </c>
      <c r="P15" s="427">
        <f t="shared" si="6"/>
        <v>73.641925945107133</v>
      </c>
    </row>
    <row r="16" spans="1:16">
      <c r="A16" s="430" t="s">
        <v>887</v>
      </c>
      <c r="B16" s="427">
        <f t="shared" si="5"/>
        <v>-216.27735345574047</v>
      </c>
      <c r="C16" s="427">
        <f t="shared" si="5"/>
        <v>-182.1713990965257</v>
      </c>
      <c r="D16" s="427">
        <f t="shared" si="5"/>
        <v>-0.4397254364035289</v>
      </c>
      <c r="E16" s="427">
        <f t="shared" si="5"/>
        <v>-0.2890523651016581</v>
      </c>
      <c r="F16" s="427">
        <f t="shared" si="5"/>
        <v>0.96960979622475119</v>
      </c>
      <c r="G16" s="427">
        <f t="shared" si="5"/>
        <v>1.0542367838949092</v>
      </c>
      <c r="J16" s="427">
        <v>2040</v>
      </c>
      <c r="K16" s="427">
        <f t="shared" si="7"/>
        <v>6066.0538862954745</v>
      </c>
      <c r="L16" s="427">
        <f t="shared" si="6"/>
        <v>6097.9522612896071</v>
      </c>
      <c r="M16" s="427">
        <f t="shared" si="6"/>
        <v>24.350049064237808</v>
      </c>
      <c r="N16" s="427">
        <f t="shared" si="6"/>
        <v>12.879766523326108</v>
      </c>
      <c r="O16" s="427">
        <f t="shared" si="6"/>
        <v>69.656972267351918</v>
      </c>
      <c r="P16" s="427">
        <f t="shared" si="6"/>
        <v>74.69616272900204</v>
      </c>
    </row>
    <row r="17" spans="1:16">
      <c r="A17" s="430" t="s">
        <v>888</v>
      </c>
      <c r="B17" s="427">
        <f t="shared" si="5"/>
        <v>-310.99586904405407</v>
      </c>
      <c r="C17" s="427">
        <f t="shared" si="5"/>
        <v>-297.17738936856841</v>
      </c>
      <c r="D17" s="427">
        <f t="shared" si="5"/>
        <v>-0.34718572111846069</v>
      </c>
      <c r="E17" s="427">
        <f t="shared" si="5"/>
        <v>-0.21699838860465218</v>
      </c>
      <c r="F17" s="427">
        <f t="shared" si="5"/>
        <v>0.97632490659731985</v>
      </c>
      <c r="G17" s="427">
        <f t="shared" si="5"/>
        <v>1.0567892017720795</v>
      </c>
      <c r="J17" s="427">
        <v>2045</v>
      </c>
      <c r="K17" s="427">
        <f t="shared" si="7"/>
        <v>5755.0580172514201</v>
      </c>
      <c r="L17" s="427">
        <f t="shared" si="6"/>
        <v>5800.7748719210385</v>
      </c>
      <c r="M17" s="427">
        <f t="shared" si="6"/>
        <v>24.002863343119348</v>
      </c>
      <c r="N17" s="427">
        <f t="shared" si="6"/>
        <v>12.662768134721455</v>
      </c>
      <c r="O17" s="427">
        <f t="shared" si="6"/>
        <v>70.633297173949245</v>
      </c>
      <c r="P17" s="427">
        <f t="shared" si="6"/>
        <v>75.752951930774117</v>
      </c>
    </row>
    <row r="18" spans="1:16">
      <c r="A18" s="430" t="s">
        <v>889</v>
      </c>
      <c r="B18" s="427">
        <f t="shared" si="5"/>
        <v>-425.80154313374544</v>
      </c>
      <c r="C18" s="427">
        <f t="shared" si="5"/>
        <v>-426.13130614152811</v>
      </c>
      <c r="D18" s="427">
        <f t="shared" si="5"/>
        <v>-1.0646206891136625</v>
      </c>
      <c r="E18" s="427">
        <f t="shared" si="5"/>
        <v>-0.62484310756648598</v>
      </c>
      <c r="F18" s="427">
        <f t="shared" si="5"/>
        <v>0.98334005560387527</v>
      </c>
      <c r="G18" s="427">
        <f t="shared" si="5"/>
        <v>1.0579041565503018</v>
      </c>
      <c r="J18" s="427">
        <v>2050</v>
      </c>
      <c r="K18" s="427">
        <f t="shared" si="7"/>
        <v>5329.2564741176748</v>
      </c>
      <c r="L18" s="427">
        <f t="shared" si="6"/>
        <v>5374.64356577951</v>
      </c>
      <c r="M18" s="427">
        <f t="shared" si="6"/>
        <v>22.938242654005684</v>
      </c>
      <c r="N18" s="427">
        <f t="shared" si="6"/>
        <v>12.037925027154969</v>
      </c>
      <c r="O18" s="427">
        <f t="shared" si="6"/>
        <v>71.61663722955312</v>
      </c>
      <c r="P18" s="427">
        <f t="shared" si="6"/>
        <v>76.810856087324424</v>
      </c>
    </row>
    <row r="20" spans="1:16" s="426" customFormat="1" ht="23">
      <c r="A20" s="425" t="s">
        <v>890</v>
      </c>
    </row>
    <row r="22" spans="1:16">
      <c r="B22" s="427" t="s">
        <v>881</v>
      </c>
      <c r="C22" s="427" t="s">
        <v>872</v>
      </c>
      <c r="D22" s="427" t="s">
        <v>891</v>
      </c>
      <c r="E22" s="427" t="s">
        <v>874</v>
      </c>
      <c r="F22" s="427" t="s">
        <v>875</v>
      </c>
      <c r="G22" s="427" t="s">
        <v>876</v>
      </c>
    </row>
    <row r="23" spans="1:16">
      <c r="A23" s="427" t="s">
        <v>892</v>
      </c>
      <c r="B23" s="427">
        <v>-2.0707809522607899E-2</v>
      </c>
      <c r="C23" s="427">
        <v>-2.2436753209113599E-4</v>
      </c>
      <c r="D23" s="427">
        <v>5.6115095111838702E-2</v>
      </c>
      <c r="E23" s="427">
        <v>0.101623569813502</v>
      </c>
      <c r="F23" s="427">
        <v>3.49800863719259E-2</v>
      </c>
      <c r="G23" s="427">
        <v>3.6130218546672199E-2</v>
      </c>
    </row>
    <row r="24" spans="1:16">
      <c r="A24" s="427" t="s">
        <v>893</v>
      </c>
      <c r="B24" s="427">
        <v>-3.0164329168775E-3</v>
      </c>
      <c r="C24" s="427">
        <v>-1.01682127977948E-2</v>
      </c>
      <c r="D24" s="427">
        <v>3.0918020909680602E-3</v>
      </c>
      <c r="E24" s="427">
        <v>-4.1544107434419997E-3</v>
      </c>
      <c r="F24" s="427">
        <v>2.5810465737273799E-2</v>
      </c>
      <c r="G24" s="427">
        <v>2.6479928190559599E-2</v>
      </c>
    </row>
    <row r="25" spans="1:16">
      <c r="A25" s="427" t="s">
        <v>894</v>
      </c>
      <c r="B25" s="427">
        <v>-2.6470401944066999E-2</v>
      </c>
      <c r="C25" s="427">
        <v>-2.4308840492900701E-2</v>
      </c>
      <c r="D25" s="427">
        <v>-1.2592244207791601E-2</v>
      </c>
      <c r="E25" s="427">
        <v>-2.5715410340092899E-2</v>
      </c>
      <c r="F25" s="427">
        <v>1.9493365162920599E-2</v>
      </c>
      <c r="G25" s="427">
        <v>1.9897130147777602E-2</v>
      </c>
    </row>
    <row r="26" spans="1:16">
      <c r="A26" s="427" t="s">
        <v>895</v>
      </c>
      <c r="B26" s="427">
        <v>-3.2698274059638502E-2</v>
      </c>
      <c r="C26" s="427">
        <v>-2.8001007977570502E-2</v>
      </c>
      <c r="D26" s="427">
        <v>-1.8565037169767502E-2</v>
      </c>
      <c r="E26" s="427">
        <v>-2.3524733577223001E-2</v>
      </c>
      <c r="F26" s="427">
        <v>1.52495864043607E-2</v>
      </c>
      <c r="G26" s="427">
        <v>1.54968650735283E-2</v>
      </c>
    </row>
    <row r="27" spans="1:16">
      <c r="A27" s="427" t="s">
        <v>896</v>
      </c>
      <c r="B27" s="427">
        <v>-4.7018460300786602E-2</v>
      </c>
      <c r="C27" s="427">
        <v>-4.5678226613683398E-2</v>
      </c>
      <c r="D27" s="427">
        <v>-1.46580463256663E-2</v>
      </c>
      <c r="E27" s="427">
        <v>-1.76605691387988E-2</v>
      </c>
      <c r="F27" s="427">
        <v>1.53551986374879E-2</v>
      </c>
      <c r="G27" s="427">
        <v>1.5534384609991099E-2</v>
      </c>
    </row>
    <row r="28" spans="1:16">
      <c r="A28" s="427" t="s">
        <v>897</v>
      </c>
      <c r="B28" s="427">
        <v>-6.4375559113975495E-2</v>
      </c>
      <c r="C28" s="427">
        <v>-6.5499338326095294E-2</v>
      </c>
      <c r="D28" s="427">
        <v>-4.4947872078432302E-2</v>
      </c>
      <c r="E28" s="427">
        <v>-5.0853303441734603E-2</v>
      </c>
      <c r="F28" s="427">
        <v>1.54655297431878E-2</v>
      </c>
      <c r="G28" s="427">
        <v>1.55507740056422E-2</v>
      </c>
    </row>
  </sheetData>
  <phoneticPr fontId="2" type="noConversion"/>
  <pageMargins left="0.7" right="0.7" top="0.75" bottom="0.75" header="0.3" footer="0.3"/>
  <pageSetup paperSize="9" orientation="portrait" r:id="rId1"/>
  <legacy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L69"/>
  <sheetViews>
    <sheetView topLeftCell="A4" zoomScale="70" zoomScaleNormal="70" workbookViewId="0">
      <selection activeCell="A34" sqref="A34"/>
    </sheetView>
  </sheetViews>
  <sheetFormatPr defaultRowHeight="17"/>
  <sheetData>
    <row r="3" spans="1:31" ht="17.5" thickBot="1">
      <c r="A3" t="s">
        <v>176</v>
      </c>
      <c r="I3" t="s">
        <v>178</v>
      </c>
    </row>
    <row r="4" spans="1:31" ht="17.5" thickTop="1">
      <c r="A4" s="651" t="s">
        <v>177</v>
      </c>
      <c r="B4" s="571" t="s">
        <v>155</v>
      </c>
      <c r="C4" s="573"/>
      <c r="D4" s="573"/>
      <c r="E4" s="573"/>
      <c r="F4" s="573"/>
      <c r="G4" s="573"/>
      <c r="H4" s="573"/>
      <c r="I4" s="573"/>
      <c r="L4" s="651" t="s">
        <v>39</v>
      </c>
      <c r="M4" s="571" t="s">
        <v>179</v>
      </c>
      <c r="N4" s="573"/>
      <c r="O4" s="573"/>
      <c r="P4" s="573"/>
      <c r="Q4" s="573"/>
      <c r="R4" s="573"/>
      <c r="S4" s="573"/>
      <c r="T4" s="573"/>
      <c r="AB4" s="543" t="s">
        <v>39</v>
      </c>
      <c r="AC4" s="544"/>
      <c r="AD4" s="547" t="s">
        <v>163</v>
      </c>
      <c r="AE4" s="548"/>
    </row>
    <row r="5" spans="1:31" ht="17.5" thickBot="1">
      <c r="A5" s="652"/>
      <c r="B5" s="562" t="s">
        <v>165</v>
      </c>
      <c r="C5" s="563"/>
      <c r="D5" s="563"/>
      <c r="E5" s="563"/>
      <c r="F5" s="563"/>
      <c r="G5" s="564"/>
      <c r="H5" s="565" t="s">
        <v>166</v>
      </c>
      <c r="I5" s="566"/>
      <c r="L5" s="652"/>
      <c r="M5" s="562" t="s">
        <v>165</v>
      </c>
      <c r="N5" s="563"/>
      <c r="O5" s="563"/>
      <c r="P5" s="563"/>
      <c r="Q5" s="563"/>
      <c r="R5" s="564"/>
      <c r="S5" s="565" t="s">
        <v>166</v>
      </c>
      <c r="T5" s="566"/>
      <c r="AB5" s="545"/>
      <c r="AC5" s="546"/>
      <c r="AD5" s="36" t="s">
        <v>156</v>
      </c>
      <c r="AE5" s="37" t="s">
        <v>157</v>
      </c>
    </row>
    <row r="6" spans="1:31" ht="17.5" thickTop="1">
      <c r="A6" s="652"/>
      <c r="B6" s="562" t="s">
        <v>44</v>
      </c>
      <c r="C6" s="564"/>
      <c r="D6" s="562" t="s">
        <v>45</v>
      </c>
      <c r="E6" s="564"/>
      <c r="F6" s="562" t="s">
        <v>46</v>
      </c>
      <c r="G6" s="564"/>
      <c r="H6" s="567"/>
      <c r="I6" s="568"/>
      <c r="L6" s="652"/>
      <c r="M6" s="562" t="s">
        <v>44</v>
      </c>
      <c r="N6" s="564"/>
      <c r="O6" s="562" t="s">
        <v>45</v>
      </c>
      <c r="P6" s="564"/>
      <c r="Q6" s="562" t="s">
        <v>46</v>
      </c>
      <c r="R6" s="564"/>
      <c r="S6" s="567"/>
      <c r="T6" s="568"/>
      <c r="AB6" s="549" t="s">
        <v>164</v>
      </c>
      <c r="AC6" s="44" t="s">
        <v>165</v>
      </c>
      <c r="AD6" s="44">
        <v>1.59</v>
      </c>
      <c r="AE6" s="45">
        <v>1.7</v>
      </c>
    </row>
    <row r="7" spans="1:31" ht="17.5" thickBot="1">
      <c r="A7" s="653"/>
      <c r="B7" s="53" t="s">
        <v>40</v>
      </c>
      <c r="C7" s="53" t="s">
        <v>41</v>
      </c>
      <c r="D7" s="53" t="s">
        <v>40</v>
      </c>
      <c r="E7" s="54" t="s">
        <v>41</v>
      </c>
      <c r="F7" s="53" t="s">
        <v>40</v>
      </c>
      <c r="G7" s="53" t="s">
        <v>41</v>
      </c>
      <c r="H7" s="53" t="s">
        <v>40</v>
      </c>
      <c r="I7" s="54" t="s">
        <v>41</v>
      </c>
      <c r="L7" s="653"/>
      <c r="M7" s="53" t="s">
        <v>40</v>
      </c>
      <c r="N7" s="53" t="s">
        <v>41</v>
      </c>
      <c r="O7" s="53" t="s">
        <v>40</v>
      </c>
      <c r="P7" s="54" t="s">
        <v>41</v>
      </c>
      <c r="Q7" s="53" t="s">
        <v>40</v>
      </c>
      <c r="R7" s="53" t="s">
        <v>41</v>
      </c>
      <c r="S7" s="53" t="s">
        <v>40</v>
      </c>
      <c r="T7" s="54" t="s">
        <v>41</v>
      </c>
      <c r="AB7" s="536"/>
      <c r="AC7" s="46" t="s">
        <v>166</v>
      </c>
      <c r="AD7" s="46">
        <v>1.59</v>
      </c>
      <c r="AE7" s="47">
        <v>1.7</v>
      </c>
    </row>
    <row r="8" spans="1:31" ht="17.5" thickTop="1">
      <c r="A8" s="38" t="s">
        <v>161</v>
      </c>
      <c r="B8" s="6">
        <v>0</v>
      </c>
      <c r="C8" s="6">
        <v>110</v>
      </c>
      <c r="D8" s="6">
        <v>0</v>
      </c>
      <c r="E8" s="39">
        <v>31</v>
      </c>
      <c r="F8" s="6">
        <v>0</v>
      </c>
      <c r="G8" s="6">
        <v>11</v>
      </c>
      <c r="H8" s="6">
        <v>0</v>
      </c>
      <c r="I8" s="39">
        <v>0</v>
      </c>
      <c r="L8" s="38" t="s">
        <v>161</v>
      </c>
      <c r="M8" s="6">
        <v>0</v>
      </c>
      <c r="N8" s="6">
        <v>110</v>
      </c>
      <c r="O8" s="6">
        <v>0</v>
      </c>
      <c r="P8" s="39">
        <v>31</v>
      </c>
      <c r="Q8" s="6">
        <v>0</v>
      </c>
      <c r="R8" s="6">
        <v>11</v>
      </c>
      <c r="S8" s="6">
        <v>0</v>
      </c>
      <c r="T8" s="39">
        <v>0</v>
      </c>
      <c r="AB8" s="535" t="s">
        <v>13</v>
      </c>
      <c r="AC8" s="46" t="s">
        <v>9</v>
      </c>
      <c r="AD8" s="46">
        <v>1.38</v>
      </c>
      <c r="AE8" s="47">
        <v>1.48</v>
      </c>
    </row>
    <row r="9" spans="1:31" ht="32">
      <c r="A9" s="40" t="s">
        <v>55</v>
      </c>
      <c r="B9" s="9">
        <v>0</v>
      </c>
      <c r="C9" s="9">
        <v>359</v>
      </c>
      <c r="D9" s="9">
        <v>0</v>
      </c>
      <c r="E9" s="41">
        <v>158</v>
      </c>
      <c r="F9" s="9">
        <v>5</v>
      </c>
      <c r="G9" s="9">
        <v>37</v>
      </c>
      <c r="H9" s="9">
        <v>0</v>
      </c>
      <c r="I9" s="41">
        <v>0</v>
      </c>
      <c r="L9" s="40" t="s">
        <v>55</v>
      </c>
      <c r="M9" s="9">
        <v>0</v>
      </c>
      <c r="N9" s="9">
        <v>356</v>
      </c>
      <c r="O9" s="9">
        <v>0</v>
      </c>
      <c r="P9" s="41">
        <v>157</v>
      </c>
      <c r="Q9" s="9">
        <v>5</v>
      </c>
      <c r="R9" s="9">
        <v>37</v>
      </c>
      <c r="S9" s="9">
        <v>0</v>
      </c>
      <c r="T9" s="41">
        <v>0</v>
      </c>
      <c r="AB9" s="536"/>
      <c r="AC9" s="46" t="s">
        <v>10</v>
      </c>
      <c r="AD9" s="46">
        <v>1.6</v>
      </c>
      <c r="AE9" s="47">
        <v>1.56</v>
      </c>
    </row>
    <row r="10" spans="1:31" ht="32">
      <c r="A10" s="40" t="s">
        <v>56</v>
      </c>
      <c r="B10" s="9">
        <v>0</v>
      </c>
      <c r="C10" s="9">
        <v>457</v>
      </c>
      <c r="D10" s="9">
        <v>0</v>
      </c>
      <c r="E10" s="41">
        <v>196</v>
      </c>
      <c r="F10" s="9">
        <v>11</v>
      </c>
      <c r="G10" s="9">
        <v>58</v>
      </c>
      <c r="H10" s="9">
        <v>25</v>
      </c>
      <c r="I10" s="41">
        <v>10</v>
      </c>
      <c r="L10" s="40" t="s">
        <v>56</v>
      </c>
      <c r="M10" s="9">
        <v>0</v>
      </c>
      <c r="N10" s="9">
        <v>455</v>
      </c>
      <c r="O10" s="9">
        <v>0</v>
      </c>
      <c r="P10" s="41">
        <v>194</v>
      </c>
      <c r="Q10" s="9">
        <v>11</v>
      </c>
      <c r="R10" s="9">
        <v>58</v>
      </c>
      <c r="S10" s="9">
        <v>25</v>
      </c>
      <c r="T10" s="41">
        <v>10</v>
      </c>
      <c r="AB10" s="535" t="s">
        <v>167</v>
      </c>
      <c r="AC10" s="46" t="s">
        <v>9</v>
      </c>
      <c r="AD10" s="46">
        <v>1.25</v>
      </c>
      <c r="AE10" s="47">
        <v>1.25</v>
      </c>
    </row>
    <row r="11" spans="1:31" ht="32">
      <c r="A11" s="40" t="s">
        <v>57</v>
      </c>
      <c r="B11" s="9">
        <v>0</v>
      </c>
      <c r="C11" s="9">
        <v>117</v>
      </c>
      <c r="D11" s="9">
        <v>0</v>
      </c>
      <c r="E11" s="41">
        <v>31</v>
      </c>
      <c r="F11" s="9">
        <v>22</v>
      </c>
      <c r="G11" s="9">
        <v>64</v>
      </c>
      <c r="H11" s="9">
        <v>55</v>
      </c>
      <c r="I11" s="41">
        <v>27</v>
      </c>
      <c r="L11" s="40" t="s">
        <v>57</v>
      </c>
      <c r="M11" s="9">
        <v>0</v>
      </c>
      <c r="N11" s="9">
        <v>116</v>
      </c>
      <c r="O11" s="9">
        <v>0</v>
      </c>
      <c r="P11" s="41">
        <v>31</v>
      </c>
      <c r="Q11" s="9">
        <v>21</v>
      </c>
      <c r="R11" s="9">
        <v>63</v>
      </c>
      <c r="S11" s="9">
        <v>54</v>
      </c>
      <c r="T11" s="41">
        <v>27</v>
      </c>
      <c r="AB11" s="536"/>
      <c r="AC11" s="46" t="s">
        <v>10</v>
      </c>
      <c r="AD11" s="46">
        <v>1.47</v>
      </c>
      <c r="AE11" s="47">
        <v>1.73</v>
      </c>
    </row>
    <row r="12" spans="1:31" ht="32">
      <c r="A12" s="40" t="s">
        <v>58</v>
      </c>
      <c r="B12" s="9">
        <v>0</v>
      </c>
      <c r="C12" s="9">
        <v>32</v>
      </c>
      <c r="D12" s="9">
        <v>0</v>
      </c>
      <c r="E12" s="41">
        <v>7</v>
      </c>
      <c r="F12" s="9">
        <v>53</v>
      </c>
      <c r="G12" s="9">
        <v>84</v>
      </c>
      <c r="H12" s="9">
        <v>83</v>
      </c>
      <c r="I12" s="41">
        <v>55</v>
      </c>
      <c r="L12" s="40" t="s">
        <v>58</v>
      </c>
      <c r="M12" s="9">
        <v>0</v>
      </c>
      <c r="N12" s="9">
        <v>32</v>
      </c>
      <c r="O12" s="9">
        <v>0</v>
      </c>
      <c r="P12" s="41">
        <v>7</v>
      </c>
      <c r="Q12" s="9">
        <v>53</v>
      </c>
      <c r="R12" s="9">
        <v>84</v>
      </c>
      <c r="S12" s="9">
        <v>82</v>
      </c>
      <c r="T12" s="41">
        <v>54</v>
      </c>
      <c r="AB12" s="535" t="s">
        <v>168</v>
      </c>
      <c r="AC12" s="46" t="s">
        <v>9</v>
      </c>
      <c r="AD12" s="46">
        <v>1.35</v>
      </c>
      <c r="AE12" s="47">
        <v>1.4</v>
      </c>
    </row>
    <row r="13" spans="1:31" ht="32">
      <c r="A13" s="40" t="s">
        <v>59</v>
      </c>
      <c r="B13" s="9">
        <v>0</v>
      </c>
      <c r="C13" s="9">
        <v>6</v>
      </c>
      <c r="D13" s="9">
        <v>0</v>
      </c>
      <c r="E13" s="41">
        <v>0</v>
      </c>
      <c r="F13" s="9">
        <v>69</v>
      </c>
      <c r="G13" s="9">
        <v>84</v>
      </c>
      <c r="H13" s="9">
        <v>87</v>
      </c>
      <c r="I13" s="41">
        <v>78</v>
      </c>
      <c r="L13" s="40" t="s">
        <v>59</v>
      </c>
      <c r="M13" s="9">
        <v>0</v>
      </c>
      <c r="N13" s="9">
        <v>6</v>
      </c>
      <c r="O13" s="9">
        <v>0</v>
      </c>
      <c r="P13" s="41">
        <v>0</v>
      </c>
      <c r="Q13" s="9">
        <v>68</v>
      </c>
      <c r="R13" s="9">
        <v>84</v>
      </c>
      <c r="S13" s="9">
        <v>86</v>
      </c>
      <c r="T13" s="41">
        <v>77</v>
      </c>
      <c r="AB13" s="536"/>
      <c r="AC13" s="46" t="s">
        <v>10</v>
      </c>
      <c r="AD13" s="46">
        <v>1.6</v>
      </c>
      <c r="AE13" s="47">
        <v>1.73</v>
      </c>
    </row>
    <row r="14" spans="1:31" ht="32">
      <c r="A14" s="40" t="s">
        <v>60</v>
      </c>
      <c r="B14" s="9">
        <v>0</v>
      </c>
      <c r="C14" s="9">
        <v>0</v>
      </c>
      <c r="D14" s="9">
        <v>2</v>
      </c>
      <c r="E14" s="41">
        <v>0</v>
      </c>
      <c r="F14" s="9">
        <v>74</v>
      </c>
      <c r="G14" s="9">
        <v>89</v>
      </c>
      <c r="H14" s="9">
        <v>88</v>
      </c>
      <c r="I14" s="41">
        <v>83</v>
      </c>
      <c r="L14" s="40" t="s">
        <v>60</v>
      </c>
      <c r="M14" s="9">
        <v>0</v>
      </c>
      <c r="N14" s="9">
        <v>0</v>
      </c>
      <c r="O14" s="9">
        <v>2</v>
      </c>
      <c r="P14" s="41">
        <v>0</v>
      </c>
      <c r="Q14" s="9">
        <v>73</v>
      </c>
      <c r="R14" s="9">
        <v>89</v>
      </c>
      <c r="S14" s="9">
        <v>87</v>
      </c>
      <c r="T14" s="41">
        <v>82</v>
      </c>
      <c r="AB14" s="535" t="s">
        <v>47</v>
      </c>
      <c r="AC14" s="46" t="s">
        <v>9</v>
      </c>
      <c r="AD14" s="46">
        <v>1.33</v>
      </c>
      <c r="AE14" s="47">
        <v>1.55</v>
      </c>
    </row>
    <row r="15" spans="1:31" ht="32">
      <c r="A15" s="40" t="s">
        <v>61</v>
      </c>
      <c r="B15" s="9">
        <v>0</v>
      </c>
      <c r="C15" s="9">
        <v>0</v>
      </c>
      <c r="D15" s="9">
        <v>8</v>
      </c>
      <c r="E15" s="41">
        <v>0</v>
      </c>
      <c r="F15" s="9">
        <v>95</v>
      </c>
      <c r="G15" s="9">
        <v>100</v>
      </c>
      <c r="H15" s="9">
        <v>102</v>
      </c>
      <c r="I15" s="41">
        <v>94</v>
      </c>
      <c r="L15" s="40" t="s">
        <v>61</v>
      </c>
      <c r="M15" s="9">
        <v>0</v>
      </c>
      <c r="N15" s="9">
        <v>0</v>
      </c>
      <c r="O15" s="9">
        <v>8</v>
      </c>
      <c r="P15" s="41">
        <v>0</v>
      </c>
      <c r="Q15" s="9">
        <v>95</v>
      </c>
      <c r="R15" s="9">
        <v>99</v>
      </c>
      <c r="S15" s="9">
        <v>102</v>
      </c>
      <c r="T15" s="41">
        <v>94</v>
      </c>
      <c r="AB15" s="536"/>
      <c r="AC15" s="46" t="s">
        <v>10</v>
      </c>
      <c r="AD15" s="46">
        <v>1.43</v>
      </c>
      <c r="AE15" s="47">
        <v>1.54</v>
      </c>
    </row>
    <row r="16" spans="1:31" ht="32">
      <c r="A16" s="40" t="s">
        <v>62</v>
      </c>
      <c r="B16" s="9">
        <v>0</v>
      </c>
      <c r="C16" s="9">
        <v>0</v>
      </c>
      <c r="D16" s="9">
        <v>14</v>
      </c>
      <c r="E16" s="41">
        <v>0</v>
      </c>
      <c r="F16" s="9">
        <v>106</v>
      </c>
      <c r="G16" s="9">
        <v>95</v>
      </c>
      <c r="H16" s="9">
        <v>114</v>
      </c>
      <c r="I16" s="41">
        <v>103</v>
      </c>
      <c r="L16" s="40" t="s">
        <v>62</v>
      </c>
      <c r="M16" s="9">
        <v>0</v>
      </c>
      <c r="N16" s="9">
        <v>0</v>
      </c>
      <c r="O16" s="9">
        <v>14</v>
      </c>
      <c r="P16" s="41">
        <v>0</v>
      </c>
      <c r="Q16" s="9">
        <v>105</v>
      </c>
      <c r="R16" s="9">
        <v>95</v>
      </c>
      <c r="S16" s="9">
        <v>113</v>
      </c>
      <c r="T16" s="41">
        <v>103</v>
      </c>
      <c r="AB16" s="535" t="s">
        <v>169</v>
      </c>
      <c r="AC16" s="46" t="s">
        <v>9</v>
      </c>
      <c r="AD16" s="46">
        <v>1.33</v>
      </c>
      <c r="AE16" s="47">
        <v>1.55</v>
      </c>
    </row>
    <row r="17" spans="1:64" ht="32">
      <c r="A17" s="40" t="s">
        <v>63</v>
      </c>
      <c r="B17" s="9">
        <v>0</v>
      </c>
      <c r="C17" s="9">
        <v>0</v>
      </c>
      <c r="D17" s="9">
        <v>26</v>
      </c>
      <c r="E17" s="41">
        <v>0</v>
      </c>
      <c r="F17" s="9">
        <v>110</v>
      </c>
      <c r="G17" s="9">
        <v>84</v>
      </c>
      <c r="H17" s="9">
        <v>110</v>
      </c>
      <c r="I17" s="41">
        <v>107</v>
      </c>
      <c r="L17" s="40" t="s">
        <v>63</v>
      </c>
      <c r="M17" s="9">
        <v>0</v>
      </c>
      <c r="N17" s="9">
        <v>0</v>
      </c>
      <c r="O17" s="9">
        <v>26</v>
      </c>
      <c r="P17" s="41">
        <v>0</v>
      </c>
      <c r="Q17" s="9">
        <v>110</v>
      </c>
      <c r="R17" s="9">
        <v>84</v>
      </c>
      <c r="S17" s="9">
        <v>109</v>
      </c>
      <c r="T17" s="41">
        <v>106</v>
      </c>
      <c r="AB17" s="536"/>
      <c r="AC17" s="46" t="s">
        <v>10</v>
      </c>
      <c r="AD17" s="46">
        <v>1.43</v>
      </c>
      <c r="AE17" s="47">
        <v>1.54</v>
      </c>
    </row>
    <row r="18" spans="1:64" ht="32">
      <c r="A18" s="40" t="s">
        <v>64</v>
      </c>
      <c r="B18" s="9">
        <v>10</v>
      </c>
      <c r="C18" s="9">
        <v>0</v>
      </c>
      <c r="D18" s="9">
        <v>47</v>
      </c>
      <c r="E18" s="41">
        <v>0</v>
      </c>
      <c r="F18" s="9">
        <v>120</v>
      </c>
      <c r="G18" s="9">
        <v>85</v>
      </c>
      <c r="H18" s="9">
        <v>107</v>
      </c>
      <c r="I18" s="41">
        <v>117</v>
      </c>
      <c r="L18" s="40" t="s">
        <v>64</v>
      </c>
      <c r="M18" s="9">
        <v>10</v>
      </c>
      <c r="N18" s="9">
        <v>0</v>
      </c>
      <c r="O18" s="9">
        <v>46</v>
      </c>
      <c r="P18" s="41">
        <v>0</v>
      </c>
      <c r="Q18" s="9">
        <v>120</v>
      </c>
      <c r="R18" s="9">
        <v>83</v>
      </c>
      <c r="S18" s="9">
        <v>108</v>
      </c>
      <c r="T18" s="41">
        <v>117</v>
      </c>
      <c r="AB18" s="535" t="s">
        <v>170</v>
      </c>
      <c r="AC18" s="46" t="s">
        <v>9</v>
      </c>
      <c r="AD18" s="46">
        <v>1.33</v>
      </c>
      <c r="AE18" s="47">
        <v>1.55</v>
      </c>
    </row>
    <row r="19" spans="1:64" ht="32">
      <c r="A19" s="40" t="s">
        <v>65</v>
      </c>
      <c r="B19" s="9">
        <v>62</v>
      </c>
      <c r="C19" s="9">
        <v>0</v>
      </c>
      <c r="D19" s="9">
        <v>83</v>
      </c>
      <c r="E19" s="41">
        <v>0</v>
      </c>
      <c r="F19" s="9">
        <v>95</v>
      </c>
      <c r="G19" s="9">
        <v>80</v>
      </c>
      <c r="H19" s="9">
        <v>87</v>
      </c>
      <c r="I19" s="41">
        <v>113</v>
      </c>
      <c r="L19" s="40" t="s">
        <v>65</v>
      </c>
      <c r="M19" s="9">
        <v>61</v>
      </c>
      <c r="N19" s="9">
        <v>0</v>
      </c>
      <c r="O19" s="9">
        <v>81</v>
      </c>
      <c r="P19" s="41">
        <v>0</v>
      </c>
      <c r="Q19" s="9">
        <v>95</v>
      </c>
      <c r="R19" s="9">
        <v>78</v>
      </c>
      <c r="S19" s="9">
        <v>86</v>
      </c>
      <c r="T19" s="41">
        <v>113</v>
      </c>
      <c r="AB19" s="536"/>
      <c r="AC19" s="46" t="s">
        <v>10</v>
      </c>
      <c r="AD19" s="46">
        <v>1.43</v>
      </c>
      <c r="AE19" s="47">
        <v>1.54</v>
      </c>
    </row>
    <row r="20" spans="1:64" ht="32">
      <c r="A20" s="40" t="s">
        <v>66</v>
      </c>
      <c r="B20" s="9">
        <v>253</v>
      </c>
      <c r="C20" s="9">
        <v>0</v>
      </c>
      <c r="D20" s="9">
        <v>91</v>
      </c>
      <c r="E20" s="41">
        <v>0</v>
      </c>
      <c r="F20" s="9">
        <v>100</v>
      </c>
      <c r="G20" s="9">
        <v>58</v>
      </c>
      <c r="H20" s="9">
        <v>75</v>
      </c>
      <c r="I20" s="41">
        <v>82</v>
      </c>
      <c r="L20" s="40" t="s">
        <v>66</v>
      </c>
      <c r="M20" s="9">
        <v>253</v>
      </c>
      <c r="N20" s="9">
        <v>0</v>
      </c>
      <c r="O20" s="9">
        <v>91</v>
      </c>
      <c r="P20" s="41">
        <v>0</v>
      </c>
      <c r="Q20" s="9">
        <v>99</v>
      </c>
      <c r="R20" s="9">
        <v>58</v>
      </c>
      <c r="S20" s="9">
        <v>75</v>
      </c>
      <c r="T20" s="41">
        <v>81</v>
      </c>
      <c r="AB20" s="535" t="s">
        <v>171</v>
      </c>
      <c r="AC20" s="46" t="s">
        <v>9</v>
      </c>
      <c r="AD20" s="46">
        <v>1.27</v>
      </c>
      <c r="AE20" s="47">
        <v>1.35</v>
      </c>
    </row>
    <row r="21" spans="1:64" ht="32.5" thickBot="1">
      <c r="A21" s="40" t="s">
        <v>67</v>
      </c>
      <c r="B21" s="9">
        <v>335</v>
      </c>
      <c r="C21" s="9">
        <v>0</v>
      </c>
      <c r="D21" s="9">
        <v>65</v>
      </c>
      <c r="E21" s="41">
        <v>0</v>
      </c>
      <c r="F21" s="9">
        <v>74</v>
      </c>
      <c r="G21" s="9">
        <v>31</v>
      </c>
      <c r="H21" s="9">
        <v>69</v>
      </c>
      <c r="I21" s="41">
        <v>79</v>
      </c>
      <c r="L21" s="40" t="s">
        <v>67</v>
      </c>
      <c r="M21" s="9">
        <v>333</v>
      </c>
      <c r="N21" s="9">
        <v>0</v>
      </c>
      <c r="O21" s="9">
        <v>65</v>
      </c>
      <c r="P21" s="41">
        <v>0</v>
      </c>
      <c r="Q21" s="9">
        <v>73</v>
      </c>
      <c r="R21" s="9">
        <v>31</v>
      </c>
      <c r="S21" s="9">
        <v>69</v>
      </c>
      <c r="T21" s="41">
        <v>78</v>
      </c>
      <c r="AB21" s="537"/>
      <c r="AC21" s="48" t="s">
        <v>10</v>
      </c>
      <c r="AD21" s="48">
        <v>1.27</v>
      </c>
      <c r="AE21" s="49">
        <v>1.35</v>
      </c>
    </row>
    <row r="22" spans="1:64" ht="32.5" thickTop="1">
      <c r="A22" s="40" t="s">
        <v>68</v>
      </c>
      <c r="B22" s="9">
        <v>277</v>
      </c>
      <c r="C22" s="9">
        <v>0</v>
      </c>
      <c r="D22" s="9">
        <v>48</v>
      </c>
      <c r="E22" s="41">
        <v>0</v>
      </c>
      <c r="F22" s="9">
        <v>31</v>
      </c>
      <c r="G22" s="9">
        <v>16</v>
      </c>
      <c r="H22" s="9">
        <v>30</v>
      </c>
      <c r="I22" s="41">
        <v>61</v>
      </c>
      <c r="L22" s="40" t="s">
        <v>68</v>
      </c>
      <c r="M22" s="9">
        <v>275</v>
      </c>
      <c r="N22" s="9">
        <v>0</v>
      </c>
      <c r="O22" s="9">
        <v>48</v>
      </c>
      <c r="P22" s="41">
        <v>0</v>
      </c>
      <c r="Q22" s="9">
        <v>31</v>
      </c>
      <c r="R22" s="9">
        <v>16</v>
      </c>
      <c r="S22" s="9">
        <v>30</v>
      </c>
      <c r="T22" s="41">
        <v>61</v>
      </c>
    </row>
    <row r="23" spans="1:64">
      <c r="A23" s="40" t="s">
        <v>162</v>
      </c>
      <c r="B23" s="9">
        <v>144</v>
      </c>
      <c r="C23" s="9">
        <v>0</v>
      </c>
      <c r="D23" s="9">
        <v>39</v>
      </c>
      <c r="E23" s="41">
        <v>0</v>
      </c>
      <c r="F23" s="9">
        <v>16</v>
      </c>
      <c r="G23" s="9">
        <v>5</v>
      </c>
      <c r="H23" s="9">
        <v>2</v>
      </c>
      <c r="I23" s="41">
        <v>25</v>
      </c>
      <c r="L23" s="40" t="s">
        <v>162</v>
      </c>
      <c r="M23" s="9">
        <v>143</v>
      </c>
      <c r="N23" s="9">
        <v>0</v>
      </c>
      <c r="O23" s="9">
        <v>39</v>
      </c>
      <c r="P23" s="41">
        <v>0</v>
      </c>
      <c r="Q23" s="9">
        <v>16</v>
      </c>
      <c r="R23" s="9">
        <v>5</v>
      </c>
      <c r="S23" s="9">
        <v>2</v>
      </c>
      <c r="T23" s="41">
        <v>25</v>
      </c>
    </row>
    <row r="24" spans="1:64" ht="17.5" thickBot="1">
      <c r="A24" s="42" t="s">
        <v>160</v>
      </c>
      <c r="B24" s="17">
        <v>1081</v>
      </c>
      <c r="C24" s="17">
        <v>1081</v>
      </c>
      <c r="D24" s="16">
        <v>423</v>
      </c>
      <c r="E24" s="55">
        <v>423</v>
      </c>
      <c r="F24" s="16">
        <v>981</v>
      </c>
      <c r="G24" s="16">
        <v>981</v>
      </c>
      <c r="H24" s="17">
        <v>1034</v>
      </c>
      <c r="I24" s="43">
        <v>1034</v>
      </c>
      <c r="L24" s="42" t="s">
        <v>160</v>
      </c>
      <c r="M24" s="17">
        <v>1075</v>
      </c>
      <c r="N24" s="17">
        <v>1075</v>
      </c>
      <c r="O24" s="16">
        <v>420</v>
      </c>
      <c r="P24" s="55">
        <v>420</v>
      </c>
      <c r="Q24" s="16">
        <v>975</v>
      </c>
      <c r="R24" s="16">
        <v>975</v>
      </c>
      <c r="S24" s="17">
        <v>1028</v>
      </c>
      <c r="T24" s="43">
        <v>1028</v>
      </c>
    </row>
    <row r="25" spans="1:64" ht="18" thickTop="1" thickBot="1"/>
    <row r="26" spans="1:64" ht="17.5" thickTop="1">
      <c r="A26" s="544" t="s">
        <v>39</v>
      </c>
      <c r="B26" s="547" t="s">
        <v>155</v>
      </c>
      <c r="C26" s="548"/>
      <c r="D26" s="548"/>
      <c r="E26" s="548"/>
      <c r="F26" s="548"/>
      <c r="G26" s="548"/>
      <c r="H26" s="548"/>
      <c r="I26" s="548"/>
      <c r="J26" s="548"/>
      <c r="K26" s="548"/>
      <c r="L26" s="548"/>
      <c r="N26" s="544" t="s">
        <v>39</v>
      </c>
      <c r="O26" s="547" t="s">
        <v>179</v>
      </c>
      <c r="P26" s="548"/>
      <c r="Q26" s="548"/>
      <c r="R26" s="548"/>
      <c r="S26" s="548"/>
      <c r="T26" s="548"/>
      <c r="U26" s="548"/>
      <c r="V26" s="548"/>
      <c r="W26" s="548"/>
      <c r="X26" s="548"/>
      <c r="Y26" s="548"/>
      <c r="AA26" s="544" t="s">
        <v>39</v>
      </c>
      <c r="AB26" s="547" t="s">
        <v>183</v>
      </c>
      <c r="AC26" s="548"/>
      <c r="AD26" s="548"/>
      <c r="AE26" s="548"/>
      <c r="AF26" s="548"/>
      <c r="AG26" s="548"/>
      <c r="AH26" s="548"/>
      <c r="AI26" s="548"/>
      <c r="AJ26" s="548"/>
      <c r="AK26" s="548"/>
      <c r="AL26" s="548"/>
      <c r="AN26" s="544" t="s">
        <v>39</v>
      </c>
      <c r="AO26" s="547" t="s">
        <v>184</v>
      </c>
      <c r="AP26" s="548"/>
      <c r="AQ26" s="548"/>
      <c r="AR26" s="548"/>
      <c r="AS26" s="548"/>
      <c r="AT26" s="548"/>
      <c r="AU26" s="548"/>
      <c r="AV26" s="548"/>
      <c r="AW26" s="548"/>
      <c r="AX26" s="548"/>
      <c r="AY26" s="548"/>
      <c r="BA26" s="544" t="s">
        <v>39</v>
      </c>
      <c r="BB26" s="547" t="s">
        <v>12</v>
      </c>
      <c r="BC26" s="548"/>
      <c r="BD26" s="548"/>
      <c r="BE26" s="548"/>
      <c r="BF26" s="548"/>
      <c r="BG26" s="548"/>
      <c r="BH26" s="548"/>
      <c r="BI26" s="548"/>
      <c r="BJ26" s="548"/>
      <c r="BK26" s="548"/>
      <c r="BL26" s="548"/>
    </row>
    <row r="27" spans="1:64">
      <c r="A27" s="641"/>
      <c r="B27" s="550" t="s">
        <v>156</v>
      </c>
      <c r="C27" s="551"/>
      <c r="D27" s="550" t="s">
        <v>157</v>
      </c>
      <c r="E27" s="551"/>
      <c r="F27" s="550" t="s">
        <v>158</v>
      </c>
      <c r="G27" s="551"/>
      <c r="H27" s="550" t="s">
        <v>159</v>
      </c>
      <c r="I27" s="551"/>
      <c r="J27" s="550" t="s">
        <v>160</v>
      </c>
      <c r="K27" s="552"/>
      <c r="L27" s="552"/>
      <c r="N27" s="641"/>
      <c r="O27" s="550" t="s">
        <v>156</v>
      </c>
      <c r="P27" s="551"/>
      <c r="Q27" s="550" t="s">
        <v>157</v>
      </c>
      <c r="R27" s="551"/>
      <c r="S27" s="550" t="s">
        <v>158</v>
      </c>
      <c r="T27" s="551"/>
      <c r="U27" s="550" t="s">
        <v>159</v>
      </c>
      <c r="V27" s="551"/>
      <c r="W27" s="550" t="s">
        <v>160</v>
      </c>
      <c r="X27" s="552"/>
      <c r="Y27" s="552"/>
      <c r="AA27" s="641"/>
      <c r="AB27" s="550" t="s">
        <v>156</v>
      </c>
      <c r="AC27" s="551"/>
      <c r="AD27" s="550" t="s">
        <v>157</v>
      </c>
      <c r="AE27" s="551"/>
      <c r="AF27" s="550" t="s">
        <v>158</v>
      </c>
      <c r="AG27" s="551"/>
      <c r="AH27" s="550" t="s">
        <v>159</v>
      </c>
      <c r="AI27" s="551"/>
      <c r="AJ27" s="550" t="s">
        <v>160</v>
      </c>
      <c r="AK27" s="552"/>
      <c r="AL27" s="552"/>
      <c r="AN27" s="641"/>
      <c r="AO27" s="550" t="s">
        <v>156</v>
      </c>
      <c r="AP27" s="551"/>
      <c r="AQ27" s="550" t="s">
        <v>157</v>
      </c>
      <c r="AR27" s="551"/>
      <c r="AS27" s="550" t="s">
        <v>158</v>
      </c>
      <c r="AT27" s="551"/>
      <c r="AU27" s="550" t="s">
        <v>159</v>
      </c>
      <c r="AV27" s="551"/>
      <c r="AW27" s="550" t="s">
        <v>160</v>
      </c>
      <c r="AX27" s="552"/>
      <c r="AY27" s="552"/>
      <c r="BA27" s="641"/>
      <c r="BB27" s="550" t="s">
        <v>156</v>
      </c>
      <c r="BC27" s="551"/>
      <c r="BD27" s="550" t="s">
        <v>157</v>
      </c>
      <c r="BE27" s="551"/>
      <c r="BF27" s="550" t="s">
        <v>158</v>
      </c>
      <c r="BG27" s="551"/>
      <c r="BH27" s="550" t="s">
        <v>159</v>
      </c>
      <c r="BI27" s="551"/>
      <c r="BJ27" s="550" t="s">
        <v>160</v>
      </c>
      <c r="BK27" s="552"/>
      <c r="BL27" s="552"/>
    </row>
    <row r="28" spans="1:64" ht="17.5" thickBot="1">
      <c r="A28" s="546"/>
      <c r="B28" s="36" t="s">
        <v>40</v>
      </c>
      <c r="C28" s="36" t="s">
        <v>41</v>
      </c>
      <c r="D28" s="36" t="s">
        <v>40</v>
      </c>
      <c r="E28" s="36" t="s">
        <v>41</v>
      </c>
      <c r="F28" s="36" t="s">
        <v>40</v>
      </c>
      <c r="G28" s="36" t="s">
        <v>41</v>
      </c>
      <c r="H28" s="36" t="s">
        <v>40</v>
      </c>
      <c r="I28" s="36" t="s">
        <v>41</v>
      </c>
      <c r="J28" s="36" t="s">
        <v>40</v>
      </c>
      <c r="K28" s="36" t="s">
        <v>41</v>
      </c>
      <c r="L28" s="37" t="s">
        <v>21</v>
      </c>
      <c r="N28" s="546"/>
      <c r="O28" s="36" t="s">
        <v>40</v>
      </c>
      <c r="P28" s="36" t="s">
        <v>41</v>
      </c>
      <c r="Q28" s="36" t="s">
        <v>40</v>
      </c>
      <c r="R28" s="36" t="s">
        <v>41</v>
      </c>
      <c r="S28" s="36" t="s">
        <v>40</v>
      </c>
      <c r="T28" s="36" t="s">
        <v>41</v>
      </c>
      <c r="U28" s="36" t="s">
        <v>40</v>
      </c>
      <c r="V28" s="36" t="s">
        <v>41</v>
      </c>
      <c r="W28" s="36" t="s">
        <v>40</v>
      </c>
      <c r="X28" s="36" t="s">
        <v>41</v>
      </c>
      <c r="Y28" s="37" t="s">
        <v>21</v>
      </c>
      <c r="AA28" s="546"/>
      <c r="AB28" s="36" t="s">
        <v>40</v>
      </c>
      <c r="AC28" s="36" t="s">
        <v>41</v>
      </c>
      <c r="AD28" s="36" t="s">
        <v>40</v>
      </c>
      <c r="AE28" s="36" t="s">
        <v>41</v>
      </c>
      <c r="AF28" s="36" t="s">
        <v>40</v>
      </c>
      <c r="AG28" s="36" t="s">
        <v>41</v>
      </c>
      <c r="AH28" s="36" t="s">
        <v>40</v>
      </c>
      <c r="AI28" s="36" t="s">
        <v>41</v>
      </c>
      <c r="AJ28" s="36" t="s">
        <v>40</v>
      </c>
      <c r="AK28" s="36" t="s">
        <v>41</v>
      </c>
      <c r="AL28" s="37" t="s">
        <v>21</v>
      </c>
      <c r="AN28" s="546"/>
      <c r="AO28" s="36" t="s">
        <v>40</v>
      </c>
      <c r="AP28" s="36" t="s">
        <v>41</v>
      </c>
      <c r="AQ28" s="36" t="s">
        <v>40</v>
      </c>
      <c r="AR28" s="36" t="s">
        <v>41</v>
      </c>
      <c r="AS28" s="36" t="s">
        <v>40</v>
      </c>
      <c r="AT28" s="36" t="s">
        <v>41</v>
      </c>
      <c r="AU28" s="36" t="s">
        <v>40</v>
      </c>
      <c r="AV28" s="36" t="s">
        <v>41</v>
      </c>
      <c r="AW28" s="36" t="s">
        <v>40</v>
      </c>
      <c r="AX28" s="36" t="s">
        <v>41</v>
      </c>
      <c r="AY28" s="37" t="s">
        <v>21</v>
      </c>
      <c r="BA28" s="546"/>
      <c r="BB28" s="36" t="s">
        <v>40</v>
      </c>
      <c r="BC28" s="36" t="s">
        <v>41</v>
      </c>
      <c r="BD28" s="36" t="s">
        <v>40</v>
      </c>
      <c r="BE28" s="36" t="s">
        <v>41</v>
      </c>
      <c r="BF28" s="36" t="s">
        <v>40</v>
      </c>
      <c r="BG28" s="36" t="s">
        <v>41</v>
      </c>
      <c r="BH28" s="36" t="s">
        <v>40</v>
      </c>
      <c r="BI28" s="36" t="s">
        <v>41</v>
      </c>
      <c r="BJ28" s="36" t="s">
        <v>40</v>
      </c>
      <c r="BK28" s="36" t="s">
        <v>41</v>
      </c>
      <c r="BL28" s="37" t="s">
        <v>21</v>
      </c>
    </row>
    <row r="29" spans="1:64" ht="17.5" thickTop="1">
      <c r="A29" s="38" t="s">
        <v>161</v>
      </c>
      <c r="B29" s="6">
        <v>0</v>
      </c>
      <c r="C29" s="6">
        <v>49</v>
      </c>
      <c r="D29" s="6">
        <v>0</v>
      </c>
      <c r="E29" s="6">
        <v>8</v>
      </c>
      <c r="F29" s="6">
        <v>0</v>
      </c>
      <c r="G29" s="6">
        <v>61</v>
      </c>
      <c r="H29" s="6">
        <v>0</v>
      </c>
      <c r="I29" s="6">
        <v>34</v>
      </c>
      <c r="J29" s="6">
        <v>0</v>
      </c>
      <c r="K29" s="6">
        <v>152</v>
      </c>
      <c r="L29" s="39">
        <v>152</v>
      </c>
      <c r="N29" s="38" t="s">
        <v>161</v>
      </c>
      <c r="O29" s="6">
        <v>0</v>
      </c>
      <c r="P29" s="6">
        <v>50</v>
      </c>
      <c r="Q29" s="6">
        <v>0</v>
      </c>
      <c r="R29" s="6">
        <v>8</v>
      </c>
      <c r="S29" s="6">
        <v>0</v>
      </c>
      <c r="T29" s="6">
        <v>61</v>
      </c>
      <c r="U29" s="6">
        <v>0</v>
      </c>
      <c r="V29" s="6">
        <v>33</v>
      </c>
      <c r="W29" s="6">
        <v>0</v>
      </c>
      <c r="X29" s="6">
        <v>152</v>
      </c>
      <c r="Y29" s="39">
        <v>152</v>
      </c>
      <c r="AA29" s="38" t="s">
        <v>161</v>
      </c>
      <c r="AB29" s="6">
        <v>0</v>
      </c>
      <c r="AC29" s="6">
        <v>41</v>
      </c>
      <c r="AD29" s="6">
        <v>0</v>
      </c>
      <c r="AE29" s="6">
        <v>7</v>
      </c>
      <c r="AF29" s="6">
        <v>0</v>
      </c>
      <c r="AG29" s="6">
        <v>49</v>
      </c>
      <c r="AH29" s="6">
        <v>0</v>
      </c>
      <c r="AI29" s="6">
        <v>27</v>
      </c>
      <c r="AJ29" s="6">
        <v>0</v>
      </c>
      <c r="AK29" s="6">
        <v>124</v>
      </c>
      <c r="AL29" s="39">
        <v>124</v>
      </c>
      <c r="AN29" s="38" t="s">
        <v>161</v>
      </c>
      <c r="AO29" s="6">
        <v>0</v>
      </c>
      <c r="AP29" s="44">
        <v>41</v>
      </c>
      <c r="AQ29" s="6">
        <v>0</v>
      </c>
      <c r="AR29" s="44">
        <v>7</v>
      </c>
      <c r="AS29" s="6">
        <v>0</v>
      </c>
      <c r="AT29" s="44">
        <v>51</v>
      </c>
      <c r="AU29" s="6">
        <v>0</v>
      </c>
      <c r="AV29" s="44">
        <v>28</v>
      </c>
      <c r="AW29" s="6">
        <v>0</v>
      </c>
      <c r="AX29" s="44">
        <v>127</v>
      </c>
      <c r="AY29" s="45">
        <v>127</v>
      </c>
      <c r="BA29" s="38" t="s">
        <v>161</v>
      </c>
      <c r="BB29" s="6">
        <v>0</v>
      </c>
      <c r="BC29" s="44">
        <v>6</v>
      </c>
      <c r="BD29" s="6">
        <v>0</v>
      </c>
      <c r="BE29" s="6">
        <v>0</v>
      </c>
      <c r="BF29" s="6">
        <v>0</v>
      </c>
      <c r="BG29" s="44">
        <v>8</v>
      </c>
      <c r="BH29" s="6">
        <v>0</v>
      </c>
      <c r="BI29" s="44">
        <v>4</v>
      </c>
      <c r="BJ29" s="6">
        <v>0</v>
      </c>
      <c r="BK29" s="44">
        <v>18</v>
      </c>
      <c r="BL29" s="45">
        <v>18</v>
      </c>
    </row>
    <row r="30" spans="1:64" ht="32">
      <c r="A30" s="40" t="s">
        <v>55</v>
      </c>
      <c r="B30" s="9">
        <v>1</v>
      </c>
      <c r="C30" s="9">
        <v>166</v>
      </c>
      <c r="D30" s="9">
        <v>0</v>
      </c>
      <c r="E30" s="9">
        <v>28</v>
      </c>
      <c r="F30" s="9">
        <v>3</v>
      </c>
      <c r="G30" s="9">
        <v>220</v>
      </c>
      <c r="H30" s="9">
        <v>1</v>
      </c>
      <c r="I30" s="9">
        <v>140</v>
      </c>
      <c r="J30" s="9">
        <v>5</v>
      </c>
      <c r="K30" s="9">
        <v>554</v>
      </c>
      <c r="L30" s="41">
        <v>559</v>
      </c>
      <c r="N30" s="40" t="s">
        <v>55</v>
      </c>
      <c r="O30" s="9">
        <v>1</v>
      </c>
      <c r="P30" s="9">
        <v>165</v>
      </c>
      <c r="Q30" s="9">
        <v>0</v>
      </c>
      <c r="R30" s="9">
        <v>28</v>
      </c>
      <c r="S30" s="9">
        <v>3</v>
      </c>
      <c r="T30" s="9">
        <v>219</v>
      </c>
      <c r="U30" s="9">
        <v>1</v>
      </c>
      <c r="V30" s="9">
        <v>138</v>
      </c>
      <c r="W30" s="9">
        <v>5</v>
      </c>
      <c r="X30" s="9">
        <v>550</v>
      </c>
      <c r="Y30" s="41">
        <v>555</v>
      </c>
      <c r="AA30" s="40" t="s">
        <v>55</v>
      </c>
      <c r="AB30" s="9">
        <v>1</v>
      </c>
      <c r="AC30" s="9">
        <v>135</v>
      </c>
      <c r="AD30" s="9">
        <v>0</v>
      </c>
      <c r="AE30" s="9">
        <v>23</v>
      </c>
      <c r="AF30" s="9">
        <v>2</v>
      </c>
      <c r="AG30" s="9">
        <v>179</v>
      </c>
      <c r="AH30" s="9">
        <v>1</v>
      </c>
      <c r="AI30" s="9">
        <v>114</v>
      </c>
      <c r="AJ30" s="9">
        <v>4</v>
      </c>
      <c r="AK30" s="9">
        <v>451</v>
      </c>
      <c r="AL30" s="41">
        <v>455</v>
      </c>
      <c r="AN30" s="40" t="s">
        <v>55</v>
      </c>
      <c r="AO30" s="46">
        <v>1</v>
      </c>
      <c r="AP30" s="46">
        <v>138</v>
      </c>
      <c r="AQ30" s="9">
        <v>0</v>
      </c>
      <c r="AR30" s="46">
        <v>23</v>
      </c>
      <c r="AS30" s="46">
        <v>2</v>
      </c>
      <c r="AT30" s="46">
        <v>182</v>
      </c>
      <c r="AU30" s="46">
        <v>1</v>
      </c>
      <c r="AV30" s="46">
        <v>116</v>
      </c>
      <c r="AW30" s="46">
        <v>4</v>
      </c>
      <c r="AX30" s="46">
        <v>459</v>
      </c>
      <c r="AY30" s="47">
        <v>463</v>
      </c>
      <c r="BA30" s="40" t="s">
        <v>55</v>
      </c>
      <c r="BB30" s="9">
        <v>0</v>
      </c>
      <c r="BC30" s="46">
        <v>18</v>
      </c>
      <c r="BD30" s="9">
        <v>0</v>
      </c>
      <c r="BE30" s="46">
        <v>2</v>
      </c>
      <c r="BF30" s="9">
        <v>0</v>
      </c>
      <c r="BG30" s="46">
        <v>24</v>
      </c>
      <c r="BH30" s="9">
        <v>0</v>
      </c>
      <c r="BI30" s="46">
        <v>14</v>
      </c>
      <c r="BJ30" s="9">
        <v>0</v>
      </c>
      <c r="BK30" s="46">
        <v>58</v>
      </c>
      <c r="BL30" s="47">
        <v>58</v>
      </c>
    </row>
    <row r="31" spans="1:64" ht="32">
      <c r="A31" s="40" t="s">
        <v>56</v>
      </c>
      <c r="B31" s="9">
        <v>9</v>
      </c>
      <c r="C31" s="9">
        <v>217</v>
      </c>
      <c r="D31" s="9">
        <v>3</v>
      </c>
      <c r="E31" s="9">
        <v>37</v>
      </c>
      <c r="F31" s="9">
        <v>15</v>
      </c>
      <c r="G31" s="9">
        <v>287</v>
      </c>
      <c r="H31" s="9">
        <v>9</v>
      </c>
      <c r="I31" s="9">
        <v>180</v>
      </c>
      <c r="J31" s="9">
        <v>36</v>
      </c>
      <c r="K31" s="9">
        <v>721</v>
      </c>
      <c r="L31" s="41">
        <v>757</v>
      </c>
      <c r="N31" s="40" t="s">
        <v>56</v>
      </c>
      <c r="O31" s="9">
        <v>9</v>
      </c>
      <c r="P31" s="9">
        <v>216</v>
      </c>
      <c r="Q31" s="9">
        <v>3</v>
      </c>
      <c r="R31" s="9">
        <v>37</v>
      </c>
      <c r="S31" s="9">
        <v>15</v>
      </c>
      <c r="T31" s="9">
        <v>285</v>
      </c>
      <c r="U31" s="9">
        <v>9</v>
      </c>
      <c r="V31" s="9">
        <v>179</v>
      </c>
      <c r="W31" s="9">
        <v>36</v>
      </c>
      <c r="X31" s="9">
        <v>717</v>
      </c>
      <c r="Y31" s="41">
        <v>753</v>
      </c>
      <c r="AA31" s="40" t="s">
        <v>56</v>
      </c>
      <c r="AB31" s="9">
        <v>8</v>
      </c>
      <c r="AC31" s="9">
        <v>177</v>
      </c>
      <c r="AD31" s="9">
        <v>2</v>
      </c>
      <c r="AE31" s="9">
        <v>29</v>
      </c>
      <c r="AF31" s="9">
        <v>12</v>
      </c>
      <c r="AG31" s="9">
        <v>234</v>
      </c>
      <c r="AH31" s="9">
        <v>7</v>
      </c>
      <c r="AI31" s="9">
        <v>147</v>
      </c>
      <c r="AJ31" s="9">
        <v>29</v>
      </c>
      <c r="AK31" s="9">
        <v>587</v>
      </c>
      <c r="AL31" s="41">
        <v>616</v>
      </c>
      <c r="AN31" s="40" t="s">
        <v>56</v>
      </c>
      <c r="AO31" s="46">
        <v>8</v>
      </c>
      <c r="AP31" s="46">
        <v>180</v>
      </c>
      <c r="AQ31" s="46">
        <v>2</v>
      </c>
      <c r="AR31" s="46">
        <v>31</v>
      </c>
      <c r="AS31" s="46">
        <v>12</v>
      </c>
      <c r="AT31" s="46">
        <v>238</v>
      </c>
      <c r="AU31" s="46">
        <v>8</v>
      </c>
      <c r="AV31" s="46">
        <v>150</v>
      </c>
      <c r="AW31" s="46">
        <v>30</v>
      </c>
      <c r="AX31" s="46">
        <v>599</v>
      </c>
      <c r="AY31" s="47">
        <v>629</v>
      </c>
      <c r="BA31" s="40" t="s">
        <v>56</v>
      </c>
      <c r="BB31" s="46">
        <v>2</v>
      </c>
      <c r="BC31" s="46">
        <v>22</v>
      </c>
      <c r="BD31" s="9">
        <v>0</v>
      </c>
      <c r="BE31" s="46">
        <v>4</v>
      </c>
      <c r="BF31" s="46">
        <v>2</v>
      </c>
      <c r="BG31" s="46">
        <v>30</v>
      </c>
      <c r="BH31" s="9">
        <v>0</v>
      </c>
      <c r="BI31" s="46">
        <v>18</v>
      </c>
      <c r="BJ31" s="46">
        <v>4</v>
      </c>
      <c r="BK31" s="46">
        <v>74</v>
      </c>
      <c r="BL31" s="47">
        <v>78</v>
      </c>
    </row>
    <row r="32" spans="1:64" ht="32">
      <c r="A32" s="40" t="s">
        <v>57</v>
      </c>
      <c r="B32" s="9">
        <v>20</v>
      </c>
      <c r="C32" s="9">
        <v>74</v>
      </c>
      <c r="D32" s="9">
        <v>6</v>
      </c>
      <c r="E32" s="9">
        <v>14</v>
      </c>
      <c r="F32" s="9">
        <v>32</v>
      </c>
      <c r="G32" s="9">
        <v>97</v>
      </c>
      <c r="H32" s="9">
        <v>19</v>
      </c>
      <c r="I32" s="9">
        <v>54</v>
      </c>
      <c r="J32" s="9">
        <v>77</v>
      </c>
      <c r="K32" s="9">
        <v>239</v>
      </c>
      <c r="L32" s="41">
        <v>316</v>
      </c>
      <c r="N32" s="40" t="s">
        <v>57</v>
      </c>
      <c r="O32" s="9">
        <v>19</v>
      </c>
      <c r="P32" s="9">
        <v>74</v>
      </c>
      <c r="Q32" s="9">
        <v>6</v>
      </c>
      <c r="R32" s="9">
        <v>14</v>
      </c>
      <c r="S32" s="9">
        <v>31</v>
      </c>
      <c r="T32" s="9">
        <v>95</v>
      </c>
      <c r="U32" s="9">
        <v>19</v>
      </c>
      <c r="V32" s="9">
        <v>54</v>
      </c>
      <c r="W32" s="9">
        <v>75</v>
      </c>
      <c r="X32" s="9">
        <v>237</v>
      </c>
      <c r="Y32" s="41">
        <v>312</v>
      </c>
      <c r="AA32" s="40" t="s">
        <v>57</v>
      </c>
      <c r="AB32" s="9">
        <v>16</v>
      </c>
      <c r="AC32" s="9">
        <v>60</v>
      </c>
      <c r="AD32" s="9">
        <v>5</v>
      </c>
      <c r="AE32" s="9">
        <v>12</v>
      </c>
      <c r="AF32" s="9">
        <v>26</v>
      </c>
      <c r="AG32" s="9">
        <v>78</v>
      </c>
      <c r="AH32" s="9">
        <v>16</v>
      </c>
      <c r="AI32" s="9">
        <v>44</v>
      </c>
      <c r="AJ32" s="9">
        <v>63</v>
      </c>
      <c r="AK32" s="9">
        <v>194</v>
      </c>
      <c r="AL32" s="41">
        <v>257</v>
      </c>
      <c r="AN32" s="40" t="s">
        <v>57</v>
      </c>
      <c r="AO32" s="46">
        <v>17</v>
      </c>
      <c r="AP32" s="46">
        <v>61</v>
      </c>
      <c r="AQ32" s="46">
        <v>5</v>
      </c>
      <c r="AR32" s="46">
        <v>12</v>
      </c>
      <c r="AS32" s="46">
        <v>26</v>
      </c>
      <c r="AT32" s="46">
        <v>80</v>
      </c>
      <c r="AU32" s="46">
        <v>16</v>
      </c>
      <c r="AV32" s="46">
        <v>45</v>
      </c>
      <c r="AW32" s="46">
        <v>64</v>
      </c>
      <c r="AX32" s="46">
        <v>198</v>
      </c>
      <c r="AY32" s="47">
        <v>262</v>
      </c>
      <c r="BA32" s="40" t="s">
        <v>57</v>
      </c>
      <c r="BB32" s="46">
        <v>2</v>
      </c>
      <c r="BC32" s="46">
        <v>8</v>
      </c>
      <c r="BD32" s="9">
        <v>0</v>
      </c>
      <c r="BE32" s="46">
        <v>2</v>
      </c>
      <c r="BF32" s="46">
        <v>4</v>
      </c>
      <c r="BG32" s="46">
        <v>10</v>
      </c>
      <c r="BH32" s="46">
        <v>2</v>
      </c>
      <c r="BI32" s="46">
        <v>4</v>
      </c>
      <c r="BJ32" s="46">
        <v>8</v>
      </c>
      <c r="BK32" s="46">
        <v>24</v>
      </c>
      <c r="BL32" s="47">
        <v>32</v>
      </c>
    </row>
    <row r="33" spans="1:64" ht="32">
      <c r="A33" s="40" t="s">
        <v>58</v>
      </c>
      <c r="B33" s="9">
        <v>36</v>
      </c>
      <c r="C33" s="9">
        <v>51</v>
      </c>
      <c r="D33" s="9">
        <v>10</v>
      </c>
      <c r="E33" s="9">
        <v>12</v>
      </c>
      <c r="F33" s="9">
        <v>56</v>
      </c>
      <c r="G33" s="9">
        <v>72</v>
      </c>
      <c r="H33" s="9">
        <v>34</v>
      </c>
      <c r="I33" s="9">
        <v>43</v>
      </c>
      <c r="J33" s="9">
        <v>136</v>
      </c>
      <c r="K33" s="9">
        <v>178</v>
      </c>
      <c r="L33" s="41">
        <v>314</v>
      </c>
      <c r="N33" s="40" t="s">
        <v>58</v>
      </c>
      <c r="O33" s="9">
        <v>35</v>
      </c>
      <c r="P33" s="9">
        <v>50</v>
      </c>
      <c r="Q33" s="9">
        <v>10</v>
      </c>
      <c r="R33" s="9">
        <v>12</v>
      </c>
      <c r="S33" s="9">
        <v>56</v>
      </c>
      <c r="T33" s="9">
        <v>73</v>
      </c>
      <c r="U33" s="9">
        <v>34</v>
      </c>
      <c r="V33" s="9">
        <v>42</v>
      </c>
      <c r="W33" s="9">
        <v>135</v>
      </c>
      <c r="X33" s="9">
        <v>177</v>
      </c>
      <c r="Y33" s="41">
        <v>312</v>
      </c>
      <c r="AA33" s="40" t="s">
        <v>58</v>
      </c>
      <c r="AB33" s="9">
        <v>28</v>
      </c>
      <c r="AC33" s="9">
        <v>41</v>
      </c>
      <c r="AD33" s="9">
        <v>8</v>
      </c>
      <c r="AE33" s="9">
        <v>10</v>
      </c>
      <c r="AF33" s="9">
        <v>46</v>
      </c>
      <c r="AG33" s="9">
        <v>60</v>
      </c>
      <c r="AH33" s="9">
        <v>28</v>
      </c>
      <c r="AI33" s="9">
        <v>35</v>
      </c>
      <c r="AJ33" s="9">
        <v>110</v>
      </c>
      <c r="AK33" s="9">
        <v>146</v>
      </c>
      <c r="AL33" s="41">
        <v>256</v>
      </c>
      <c r="AN33" s="40" t="s">
        <v>58</v>
      </c>
      <c r="AO33" s="46">
        <v>30</v>
      </c>
      <c r="AP33" s="46">
        <v>42</v>
      </c>
      <c r="AQ33" s="46">
        <v>8</v>
      </c>
      <c r="AR33" s="46">
        <v>10</v>
      </c>
      <c r="AS33" s="46">
        <v>47</v>
      </c>
      <c r="AT33" s="46">
        <v>61</v>
      </c>
      <c r="AU33" s="46">
        <v>28</v>
      </c>
      <c r="AV33" s="46">
        <v>36</v>
      </c>
      <c r="AW33" s="46">
        <v>113</v>
      </c>
      <c r="AX33" s="46">
        <v>149</v>
      </c>
      <c r="AY33" s="47">
        <v>262</v>
      </c>
      <c r="BA33" s="40" t="s">
        <v>58</v>
      </c>
      <c r="BB33" s="46">
        <v>4</v>
      </c>
      <c r="BC33" s="46">
        <v>6</v>
      </c>
      <c r="BD33" s="9">
        <v>0</v>
      </c>
      <c r="BE33" s="46">
        <v>2</v>
      </c>
      <c r="BF33" s="46">
        <v>4</v>
      </c>
      <c r="BG33" s="46">
        <v>8</v>
      </c>
      <c r="BH33" s="46">
        <v>6</v>
      </c>
      <c r="BI33" s="46">
        <v>2</v>
      </c>
      <c r="BJ33" s="46">
        <v>14</v>
      </c>
      <c r="BK33" s="46">
        <v>18</v>
      </c>
      <c r="BL33" s="47">
        <v>32</v>
      </c>
    </row>
    <row r="34" spans="1:64" ht="32">
      <c r="A34" s="40" t="s">
        <v>59</v>
      </c>
      <c r="B34" s="9">
        <v>41</v>
      </c>
      <c r="C34" s="9">
        <v>45</v>
      </c>
      <c r="D34" s="9">
        <v>12</v>
      </c>
      <c r="E34" s="9">
        <v>13</v>
      </c>
      <c r="F34" s="9">
        <v>64</v>
      </c>
      <c r="G34" s="9">
        <v>69</v>
      </c>
      <c r="H34" s="9">
        <v>39</v>
      </c>
      <c r="I34" s="9">
        <v>41</v>
      </c>
      <c r="J34" s="9">
        <v>156</v>
      </c>
      <c r="K34" s="9">
        <v>168</v>
      </c>
      <c r="L34" s="41">
        <v>324</v>
      </c>
      <c r="N34" s="40" t="s">
        <v>59</v>
      </c>
      <c r="O34" s="9">
        <v>40</v>
      </c>
      <c r="P34" s="9">
        <v>45</v>
      </c>
      <c r="Q34" s="9">
        <v>11</v>
      </c>
      <c r="R34" s="9">
        <v>12</v>
      </c>
      <c r="S34" s="9">
        <v>64</v>
      </c>
      <c r="T34" s="9">
        <v>69</v>
      </c>
      <c r="U34" s="9">
        <v>39</v>
      </c>
      <c r="V34" s="9">
        <v>41</v>
      </c>
      <c r="W34" s="9">
        <v>154</v>
      </c>
      <c r="X34" s="9">
        <v>167</v>
      </c>
      <c r="Y34" s="41">
        <v>321</v>
      </c>
      <c r="AA34" s="40" t="s">
        <v>59</v>
      </c>
      <c r="AB34" s="9">
        <v>33</v>
      </c>
      <c r="AC34" s="9">
        <v>37</v>
      </c>
      <c r="AD34" s="9">
        <v>9</v>
      </c>
      <c r="AE34" s="9">
        <v>10</v>
      </c>
      <c r="AF34" s="9">
        <v>53</v>
      </c>
      <c r="AG34" s="9">
        <v>56</v>
      </c>
      <c r="AH34" s="9">
        <v>32</v>
      </c>
      <c r="AI34" s="9">
        <v>34</v>
      </c>
      <c r="AJ34" s="9">
        <v>127</v>
      </c>
      <c r="AK34" s="9">
        <v>137</v>
      </c>
      <c r="AL34" s="41">
        <v>264</v>
      </c>
      <c r="AN34" s="40" t="s">
        <v>59</v>
      </c>
      <c r="AO34" s="46">
        <v>34</v>
      </c>
      <c r="AP34" s="46">
        <v>38</v>
      </c>
      <c r="AQ34" s="46">
        <v>10</v>
      </c>
      <c r="AR34" s="46">
        <v>10</v>
      </c>
      <c r="AS34" s="46">
        <v>53</v>
      </c>
      <c r="AT34" s="46">
        <v>57</v>
      </c>
      <c r="AU34" s="46">
        <v>32</v>
      </c>
      <c r="AV34" s="46">
        <v>34</v>
      </c>
      <c r="AW34" s="46">
        <v>129</v>
      </c>
      <c r="AX34" s="46">
        <v>139</v>
      </c>
      <c r="AY34" s="47">
        <v>268</v>
      </c>
      <c r="BA34" s="40" t="s">
        <v>59</v>
      </c>
      <c r="BB34" s="46">
        <v>4</v>
      </c>
      <c r="BC34" s="46">
        <v>4</v>
      </c>
      <c r="BD34" s="46">
        <v>2</v>
      </c>
      <c r="BE34" s="46">
        <v>2</v>
      </c>
      <c r="BF34" s="46">
        <v>6</v>
      </c>
      <c r="BG34" s="46">
        <v>6</v>
      </c>
      <c r="BH34" s="46">
        <v>4</v>
      </c>
      <c r="BI34" s="46">
        <v>4</v>
      </c>
      <c r="BJ34" s="46">
        <v>16</v>
      </c>
      <c r="BK34" s="46">
        <v>16</v>
      </c>
      <c r="BL34" s="47">
        <v>32</v>
      </c>
    </row>
    <row r="35" spans="1:64" ht="32">
      <c r="A35" s="40" t="s">
        <v>60</v>
      </c>
      <c r="B35" s="9">
        <v>42</v>
      </c>
      <c r="C35" s="9">
        <v>46</v>
      </c>
      <c r="D35" s="9">
        <v>12</v>
      </c>
      <c r="E35" s="9">
        <v>13</v>
      </c>
      <c r="F35" s="9">
        <v>68</v>
      </c>
      <c r="G35" s="9">
        <v>70</v>
      </c>
      <c r="H35" s="9">
        <v>42</v>
      </c>
      <c r="I35" s="9">
        <v>43</v>
      </c>
      <c r="J35" s="9">
        <v>164</v>
      </c>
      <c r="K35" s="9">
        <v>172</v>
      </c>
      <c r="L35" s="41">
        <v>336</v>
      </c>
      <c r="N35" s="40" t="s">
        <v>60</v>
      </c>
      <c r="O35" s="9">
        <v>42</v>
      </c>
      <c r="P35" s="9">
        <v>45</v>
      </c>
      <c r="Q35" s="9">
        <v>12</v>
      </c>
      <c r="R35" s="9">
        <v>13</v>
      </c>
      <c r="S35" s="9">
        <v>67</v>
      </c>
      <c r="T35" s="9">
        <v>70</v>
      </c>
      <c r="U35" s="9">
        <v>41</v>
      </c>
      <c r="V35" s="9">
        <v>43</v>
      </c>
      <c r="W35" s="9">
        <v>162</v>
      </c>
      <c r="X35" s="9">
        <v>171</v>
      </c>
      <c r="Y35" s="41">
        <v>333</v>
      </c>
      <c r="AA35" s="40" t="s">
        <v>60</v>
      </c>
      <c r="AB35" s="9">
        <v>35</v>
      </c>
      <c r="AC35" s="9">
        <v>37</v>
      </c>
      <c r="AD35" s="9">
        <v>10</v>
      </c>
      <c r="AE35" s="9">
        <v>10</v>
      </c>
      <c r="AF35" s="9">
        <v>55</v>
      </c>
      <c r="AG35" s="9">
        <v>58</v>
      </c>
      <c r="AH35" s="9">
        <v>33</v>
      </c>
      <c r="AI35" s="9">
        <v>35</v>
      </c>
      <c r="AJ35" s="9">
        <v>133</v>
      </c>
      <c r="AK35" s="9">
        <v>140</v>
      </c>
      <c r="AL35" s="41">
        <v>273</v>
      </c>
      <c r="AN35" s="40" t="s">
        <v>60</v>
      </c>
      <c r="AO35" s="46">
        <v>35</v>
      </c>
      <c r="AP35" s="46">
        <v>38</v>
      </c>
      <c r="AQ35" s="46">
        <v>10</v>
      </c>
      <c r="AR35" s="46">
        <v>10</v>
      </c>
      <c r="AS35" s="46">
        <v>56</v>
      </c>
      <c r="AT35" s="46">
        <v>59</v>
      </c>
      <c r="AU35" s="46">
        <v>34</v>
      </c>
      <c r="AV35" s="46">
        <v>36</v>
      </c>
      <c r="AW35" s="46">
        <v>135</v>
      </c>
      <c r="AX35" s="46">
        <v>143</v>
      </c>
      <c r="AY35" s="47">
        <v>278</v>
      </c>
      <c r="BA35" s="40" t="s">
        <v>60</v>
      </c>
      <c r="BB35" s="46">
        <v>4</v>
      </c>
      <c r="BC35" s="46">
        <v>4</v>
      </c>
      <c r="BD35" s="46">
        <v>2</v>
      </c>
      <c r="BE35" s="46">
        <v>2</v>
      </c>
      <c r="BF35" s="46">
        <v>8</v>
      </c>
      <c r="BG35" s="46">
        <v>8</v>
      </c>
      <c r="BH35" s="46">
        <v>4</v>
      </c>
      <c r="BI35" s="46">
        <v>4</v>
      </c>
      <c r="BJ35" s="46">
        <v>18</v>
      </c>
      <c r="BK35" s="46">
        <v>18</v>
      </c>
      <c r="BL35" s="47">
        <v>36</v>
      </c>
    </row>
    <row r="36" spans="1:64" ht="32">
      <c r="A36" s="40" t="s">
        <v>61</v>
      </c>
      <c r="B36" s="9">
        <v>53</v>
      </c>
      <c r="C36" s="9">
        <v>51</v>
      </c>
      <c r="D36" s="9">
        <v>15</v>
      </c>
      <c r="E36" s="9">
        <v>14</v>
      </c>
      <c r="F36" s="9">
        <v>84</v>
      </c>
      <c r="G36" s="9">
        <v>80</v>
      </c>
      <c r="H36" s="9">
        <v>53</v>
      </c>
      <c r="I36" s="9">
        <v>49</v>
      </c>
      <c r="J36" s="9">
        <v>205</v>
      </c>
      <c r="K36" s="9">
        <v>194</v>
      </c>
      <c r="L36" s="41">
        <v>399</v>
      </c>
      <c r="N36" s="40" t="s">
        <v>61</v>
      </c>
      <c r="O36" s="9">
        <v>53</v>
      </c>
      <c r="P36" s="9">
        <v>51</v>
      </c>
      <c r="Q36" s="9">
        <v>15</v>
      </c>
      <c r="R36" s="9">
        <v>14</v>
      </c>
      <c r="S36" s="9">
        <v>84</v>
      </c>
      <c r="T36" s="9">
        <v>80</v>
      </c>
      <c r="U36" s="9">
        <v>53</v>
      </c>
      <c r="V36" s="9">
        <v>48</v>
      </c>
      <c r="W36" s="9">
        <v>205</v>
      </c>
      <c r="X36" s="9">
        <v>193</v>
      </c>
      <c r="Y36" s="41">
        <v>398</v>
      </c>
      <c r="AA36" s="40" t="s">
        <v>61</v>
      </c>
      <c r="AB36" s="9">
        <v>43</v>
      </c>
      <c r="AC36" s="9">
        <v>42</v>
      </c>
      <c r="AD36" s="9">
        <v>12</v>
      </c>
      <c r="AE36" s="9">
        <v>12</v>
      </c>
      <c r="AF36" s="9">
        <v>69</v>
      </c>
      <c r="AG36" s="9">
        <v>65</v>
      </c>
      <c r="AH36" s="9">
        <v>44</v>
      </c>
      <c r="AI36" s="9">
        <v>39</v>
      </c>
      <c r="AJ36" s="9">
        <v>168</v>
      </c>
      <c r="AK36" s="9">
        <v>158</v>
      </c>
      <c r="AL36" s="41">
        <v>326</v>
      </c>
      <c r="AN36" s="40" t="s">
        <v>61</v>
      </c>
      <c r="AO36" s="46">
        <v>44</v>
      </c>
      <c r="AP36" s="46">
        <v>43</v>
      </c>
      <c r="AQ36" s="46">
        <v>12</v>
      </c>
      <c r="AR36" s="46">
        <v>12</v>
      </c>
      <c r="AS36" s="46">
        <v>70</v>
      </c>
      <c r="AT36" s="46">
        <v>66</v>
      </c>
      <c r="AU36" s="46">
        <v>45</v>
      </c>
      <c r="AV36" s="46">
        <v>40</v>
      </c>
      <c r="AW36" s="46">
        <v>171</v>
      </c>
      <c r="AX36" s="46">
        <v>161</v>
      </c>
      <c r="AY36" s="47">
        <v>332</v>
      </c>
      <c r="BA36" s="40" t="s">
        <v>61</v>
      </c>
      <c r="BB36" s="46">
        <v>4</v>
      </c>
      <c r="BC36" s="46">
        <v>4</v>
      </c>
      <c r="BD36" s="46">
        <v>2</v>
      </c>
      <c r="BE36" s="46">
        <v>2</v>
      </c>
      <c r="BF36" s="46">
        <v>8</v>
      </c>
      <c r="BG36" s="46">
        <v>8</v>
      </c>
      <c r="BH36" s="46">
        <v>4</v>
      </c>
      <c r="BI36" s="46">
        <v>6</v>
      </c>
      <c r="BJ36" s="46">
        <v>18</v>
      </c>
      <c r="BK36" s="46">
        <v>20</v>
      </c>
      <c r="BL36" s="47">
        <v>38</v>
      </c>
    </row>
    <row r="37" spans="1:64" ht="32">
      <c r="A37" s="40" t="s">
        <v>62</v>
      </c>
      <c r="B37" s="9">
        <v>59</v>
      </c>
      <c r="C37" s="9">
        <v>52</v>
      </c>
      <c r="D37" s="9">
        <v>16</v>
      </c>
      <c r="E37" s="9">
        <v>14</v>
      </c>
      <c r="F37" s="9">
        <v>96</v>
      </c>
      <c r="G37" s="9">
        <v>82</v>
      </c>
      <c r="H37" s="9">
        <v>63</v>
      </c>
      <c r="I37" s="9">
        <v>50</v>
      </c>
      <c r="J37" s="9">
        <v>234</v>
      </c>
      <c r="K37" s="9">
        <v>198</v>
      </c>
      <c r="L37" s="41">
        <v>432</v>
      </c>
      <c r="N37" s="40" t="s">
        <v>62</v>
      </c>
      <c r="O37" s="9">
        <v>59</v>
      </c>
      <c r="P37" s="9">
        <v>52</v>
      </c>
      <c r="Q37" s="9">
        <v>16</v>
      </c>
      <c r="R37" s="9">
        <v>14</v>
      </c>
      <c r="S37" s="9">
        <v>95</v>
      </c>
      <c r="T37" s="9">
        <v>82</v>
      </c>
      <c r="U37" s="9">
        <v>62</v>
      </c>
      <c r="V37" s="9">
        <v>50</v>
      </c>
      <c r="W37" s="9">
        <v>232</v>
      </c>
      <c r="X37" s="9">
        <v>198</v>
      </c>
      <c r="Y37" s="41">
        <v>430</v>
      </c>
      <c r="AA37" s="40" t="s">
        <v>62</v>
      </c>
      <c r="AB37" s="9">
        <v>48</v>
      </c>
      <c r="AC37" s="9">
        <v>43</v>
      </c>
      <c r="AD37" s="9">
        <v>13</v>
      </c>
      <c r="AE37" s="9">
        <v>11</v>
      </c>
      <c r="AF37" s="9">
        <v>78</v>
      </c>
      <c r="AG37" s="9">
        <v>67</v>
      </c>
      <c r="AH37" s="9">
        <v>51</v>
      </c>
      <c r="AI37" s="9">
        <v>41</v>
      </c>
      <c r="AJ37" s="9">
        <v>190</v>
      </c>
      <c r="AK37" s="9">
        <v>162</v>
      </c>
      <c r="AL37" s="41">
        <v>352</v>
      </c>
      <c r="AN37" s="40" t="s">
        <v>62</v>
      </c>
      <c r="AO37" s="46">
        <v>49</v>
      </c>
      <c r="AP37" s="46">
        <v>44</v>
      </c>
      <c r="AQ37" s="46">
        <v>14</v>
      </c>
      <c r="AR37" s="46">
        <v>12</v>
      </c>
      <c r="AS37" s="46">
        <v>79</v>
      </c>
      <c r="AT37" s="46">
        <v>68</v>
      </c>
      <c r="AU37" s="46">
        <v>52</v>
      </c>
      <c r="AV37" s="46">
        <v>41</v>
      </c>
      <c r="AW37" s="46">
        <v>194</v>
      </c>
      <c r="AX37" s="46">
        <v>165</v>
      </c>
      <c r="AY37" s="47">
        <v>359</v>
      </c>
      <c r="BA37" s="40" t="s">
        <v>62</v>
      </c>
      <c r="BB37" s="46">
        <v>4</v>
      </c>
      <c r="BC37" s="46">
        <v>4</v>
      </c>
      <c r="BD37" s="46">
        <v>2</v>
      </c>
      <c r="BE37" s="46">
        <v>2</v>
      </c>
      <c r="BF37" s="46">
        <v>8</v>
      </c>
      <c r="BG37" s="46">
        <v>8</v>
      </c>
      <c r="BH37" s="46">
        <v>6</v>
      </c>
      <c r="BI37" s="46">
        <v>6</v>
      </c>
      <c r="BJ37" s="46">
        <v>20</v>
      </c>
      <c r="BK37" s="46">
        <v>20</v>
      </c>
      <c r="BL37" s="47">
        <v>40</v>
      </c>
    </row>
    <row r="38" spans="1:64" ht="32">
      <c r="A38" s="40" t="s">
        <v>63</v>
      </c>
      <c r="B38" s="9">
        <v>60</v>
      </c>
      <c r="C38" s="9">
        <v>50</v>
      </c>
      <c r="D38" s="9">
        <v>16</v>
      </c>
      <c r="E38" s="9">
        <v>14</v>
      </c>
      <c r="F38" s="9">
        <v>101</v>
      </c>
      <c r="G38" s="9">
        <v>79</v>
      </c>
      <c r="H38" s="9">
        <v>69</v>
      </c>
      <c r="I38" s="9">
        <v>48</v>
      </c>
      <c r="J38" s="9">
        <v>246</v>
      </c>
      <c r="K38" s="9">
        <v>191</v>
      </c>
      <c r="L38" s="41">
        <v>437</v>
      </c>
      <c r="N38" s="40" t="s">
        <v>63</v>
      </c>
      <c r="O38" s="9">
        <v>60</v>
      </c>
      <c r="P38" s="9">
        <v>50</v>
      </c>
      <c r="Q38" s="9">
        <v>17</v>
      </c>
      <c r="R38" s="9">
        <v>14</v>
      </c>
      <c r="S38" s="9">
        <v>100</v>
      </c>
      <c r="T38" s="9">
        <v>78</v>
      </c>
      <c r="U38" s="9">
        <v>68</v>
      </c>
      <c r="V38" s="9">
        <v>48</v>
      </c>
      <c r="W38" s="9">
        <v>245</v>
      </c>
      <c r="X38" s="9">
        <v>190</v>
      </c>
      <c r="Y38" s="41">
        <v>435</v>
      </c>
      <c r="AA38" s="40" t="s">
        <v>63</v>
      </c>
      <c r="AB38" s="9">
        <v>49</v>
      </c>
      <c r="AC38" s="9">
        <v>41</v>
      </c>
      <c r="AD38" s="9">
        <v>14</v>
      </c>
      <c r="AE38" s="9">
        <v>11</v>
      </c>
      <c r="AF38" s="9">
        <v>82</v>
      </c>
      <c r="AG38" s="9">
        <v>65</v>
      </c>
      <c r="AH38" s="9">
        <v>55</v>
      </c>
      <c r="AI38" s="9">
        <v>39</v>
      </c>
      <c r="AJ38" s="9">
        <v>200</v>
      </c>
      <c r="AK38" s="9">
        <v>156</v>
      </c>
      <c r="AL38" s="41">
        <v>356</v>
      </c>
      <c r="AN38" s="40" t="s">
        <v>63</v>
      </c>
      <c r="AO38" s="46">
        <v>50</v>
      </c>
      <c r="AP38" s="46">
        <v>42</v>
      </c>
      <c r="AQ38" s="46">
        <v>14</v>
      </c>
      <c r="AR38" s="46">
        <v>11</v>
      </c>
      <c r="AS38" s="46">
        <v>84</v>
      </c>
      <c r="AT38" s="46">
        <v>65</v>
      </c>
      <c r="AU38" s="46">
        <v>56</v>
      </c>
      <c r="AV38" s="46">
        <v>40</v>
      </c>
      <c r="AW38" s="46">
        <v>204</v>
      </c>
      <c r="AX38" s="46">
        <v>158</v>
      </c>
      <c r="AY38" s="47">
        <v>362</v>
      </c>
      <c r="BA38" s="40" t="s">
        <v>63</v>
      </c>
      <c r="BB38" s="46">
        <v>6</v>
      </c>
      <c r="BC38" s="46">
        <v>6</v>
      </c>
      <c r="BD38" s="46">
        <v>2</v>
      </c>
      <c r="BE38" s="46">
        <v>2</v>
      </c>
      <c r="BF38" s="46">
        <v>10</v>
      </c>
      <c r="BG38" s="46">
        <v>6</v>
      </c>
      <c r="BH38" s="46">
        <v>8</v>
      </c>
      <c r="BI38" s="46">
        <v>6</v>
      </c>
      <c r="BJ38" s="46">
        <v>26</v>
      </c>
      <c r="BK38" s="46">
        <v>20</v>
      </c>
      <c r="BL38" s="47">
        <v>46</v>
      </c>
    </row>
    <row r="39" spans="1:64" ht="32">
      <c r="A39" s="40" t="s">
        <v>64</v>
      </c>
      <c r="B39" s="9">
        <v>68</v>
      </c>
      <c r="C39" s="9">
        <v>53</v>
      </c>
      <c r="D39" s="9">
        <v>18</v>
      </c>
      <c r="E39" s="9">
        <v>15</v>
      </c>
      <c r="F39" s="9">
        <v>116</v>
      </c>
      <c r="G39" s="9">
        <v>84</v>
      </c>
      <c r="H39" s="9">
        <v>82</v>
      </c>
      <c r="I39" s="9">
        <v>50</v>
      </c>
      <c r="J39" s="9">
        <v>284</v>
      </c>
      <c r="K39" s="9">
        <v>202</v>
      </c>
      <c r="L39" s="41">
        <v>486</v>
      </c>
      <c r="N39" s="40" t="s">
        <v>64</v>
      </c>
      <c r="O39" s="9">
        <v>68</v>
      </c>
      <c r="P39" s="9">
        <v>52</v>
      </c>
      <c r="Q39" s="9">
        <v>18</v>
      </c>
      <c r="R39" s="9">
        <v>15</v>
      </c>
      <c r="S39" s="9">
        <v>116</v>
      </c>
      <c r="T39" s="9">
        <v>83</v>
      </c>
      <c r="U39" s="9">
        <v>82</v>
      </c>
      <c r="V39" s="9">
        <v>50</v>
      </c>
      <c r="W39" s="9">
        <v>284</v>
      </c>
      <c r="X39" s="9">
        <v>200</v>
      </c>
      <c r="Y39" s="41">
        <v>484</v>
      </c>
      <c r="AA39" s="40" t="s">
        <v>64</v>
      </c>
      <c r="AB39" s="9">
        <v>55</v>
      </c>
      <c r="AC39" s="9">
        <v>43</v>
      </c>
      <c r="AD39" s="9">
        <v>15</v>
      </c>
      <c r="AE39" s="9">
        <v>12</v>
      </c>
      <c r="AF39" s="9">
        <v>94</v>
      </c>
      <c r="AG39" s="9">
        <v>67</v>
      </c>
      <c r="AH39" s="9">
        <v>67</v>
      </c>
      <c r="AI39" s="9">
        <v>41</v>
      </c>
      <c r="AJ39" s="9">
        <v>231</v>
      </c>
      <c r="AK39" s="9">
        <v>163</v>
      </c>
      <c r="AL39" s="41">
        <v>394</v>
      </c>
      <c r="AN39" s="40" t="s">
        <v>64</v>
      </c>
      <c r="AO39" s="46">
        <v>56</v>
      </c>
      <c r="AP39" s="46">
        <v>44</v>
      </c>
      <c r="AQ39" s="46">
        <v>15</v>
      </c>
      <c r="AR39" s="46">
        <v>12</v>
      </c>
      <c r="AS39" s="46">
        <v>97</v>
      </c>
      <c r="AT39" s="46">
        <v>70</v>
      </c>
      <c r="AU39" s="46">
        <v>69</v>
      </c>
      <c r="AV39" s="46">
        <v>42</v>
      </c>
      <c r="AW39" s="46">
        <v>237</v>
      </c>
      <c r="AX39" s="46">
        <v>168</v>
      </c>
      <c r="AY39" s="47">
        <v>405</v>
      </c>
      <c r="BA39" s="40" t="s">
        <v>64</v>
      </c>
      <c r="BB39" s="46">
        <v>8</v>
      </c>
      <c r="BC39" s="46">
        <v>6</v>
      </c>
      <c r="BD39" s="46">
        <v>2</v>
      </c>
      <c r="BE39" s="9">
        <v>0</v>
      </c>
      <c r="BF39" s="46">
        <v>12</v>
      </c>
      <c r="BG39" s="46">
        <v>8</v>
      </c>
      <c r="BH39" s="46">
        <v>8</v>
      </c>
      <c r="BI39" s="46">
        <v>6</v>
      </c>
      <c r="BJ39" s="46">
        <v>30</v>
      </c>
      <c r="BK39" s="46">
        <v>20</v>
      </c>
      <c r="BL39" s="47">
        <v>50</v>
      </c>
    </row>
    <row r="40" spans="1:64" ht="32">
      <c r="A40" s="40" t="s">
        <v>65</v>
      </c>
      <c r="B40" s="9">
        <v>79</v>
      </c>
      <c r="C40" s="9">
        <v>51</v>
      </c>
      <c r="D40" s="9">
        <v>19</v>
      </c>
      <c r="E40" s="9">
        <v>14</v>
      </c>
      <c r="F40" s="9">
        <v>132</v>
      </c>
      <c r="G40" s="9">
        <v>80</v>
      </c>
      <c r="H40" s="9">
        <v>97</v>
      </c>
      <c r="I40" s="9">
        <v>48</v>
      </c>
      <c r="J40" s="9">
        <v>327</v>
      </c>
      <c r="K40" s="9">
        <v>193</v>
      </c>
      <c r="L40" s="41">
        <v>520</v>
      </c>
      <c r="N40" s="40" t="s">
        <v>65</v>
      </c>
      <c r="O40" s="9">
        <v>78</v>
      </c>
      <c r="P40" s="9">
        <v>50</v>
      </c>
      <c r="Q40" s="9">
        <v>18</v>
      </c>
      <c r="R40" s="9">
        <v>14</v>
      </c>
      <c r="S40" s="9">
        <v>130</v>
      </c>
      <c r="T40" s="9">
        <v>79</v>
      </c>
      <c r="U40" s="9">
        <v>97</v>
      </c>
      <c r="V40" s="9">
        <v>48</v>
      </c>
      <c r="W40" s="9">
        <v>323</v>
      </c>
      <c r="X40" s="9">
        <v>191</v>
      </c>
      <c r="Y40" s="41">
        <v>514</v>
      </c>
      <c r="AA40" s="40" t="s">
        <v>65</v>
      </c>
      <c r="AB40" s="9">
        <v>64</v>
      </c>
      <c r="AC40" s="9">
        <v>41</v>
      </c>
      <c r="AD40" s="9">
        <v>15</v>
      </c>
      <c r="AE40" s="9">
        <v>12</v>
      </c>
      <c r="AF40" s="9">
        <v>108</v>
      </c>
      <c r="AG40" s="9">
        <v>66</v>
      </c>
      <c r="AH40" s="9">
        <v>79</v>
      </c>
      <c r="AI40" s="9">
        <v>38</v>
      </c>
      <c r="AJ40" s="9">
        <v>266</v>
      </c>
      <c r="AK40" s="9">
        <v>157</v>
      </c>
      <c r="AL40" s="41">
        <v>423</v>
      </c>
      <c r="AN40" s="40" t="s">
        <v>65</v>
      </c>
      <c r="AO40" s="46">
        <v>65</v>
      </c>
      <c r="AP40" s="46">
        <v>42</v>
      </c>
      <c r="AQ40" s="46">
        <v>16</v>
      </c>
      <c r="AR40" s="46">
        <v>12</v>
      </c>
      <c r="AS40" s="46">
        <v>109</v>
      </c>
      <c r="AT40" s="46">
        <v>67</v>
      </c>
      <c r="AU40" s="46">
        <v>80</v>
      </c>
      <c r="AV40" s="46">
        <v>40</v>
      </c>
      <c r="AW40" s="46">
        <v>270</v>
      </c>
      <c r="AX40" s="46">
        <v>161</v>
      </c>
      <c r="AY40" s="47">
        <v>431</v>
      </c>
      <c r="BA40" s="40" t="s">
        <v>65</v>
      </c>
      <c r="BB40" s="46">
        <v>10</v>
      </c>
      <c r="BC40" s="46">
        <v>6</v>
      </c>
      <c r="BD40" s="9">
        <v>0</v>
      </c>
      <c r="BE40" s="9">
        <v>0</v>
      </c>
      <c r="BF40" s="46">
        <v>14</v>
      </c>
      <c r="BG40" s="46">
        <v>8</v>
      </c>
      <c r="BH40" s="46">
        <v>10</v>
      </c>
      <c r="BI40" s="46">
        <v>6</v>
      </c>
      <c r="BJ40" s="46">
        <v>34</v>
      </c>
      <c r="BK40" s="46">
        <v>20</v>
      </c>
      <c r="BL40" s="47">
        <v>54</v>
      </c>
    </row>
    <row r="41" spans="1:64" ht="32">
      <c r="A41" s="40" t="s">
        <v>66</v>
      </c>
      <c r="B41" s="9">
        <v>155</v>
      </c>
      <c r="C41" s="9">
        <v>37</v>
      </c>
      <c r="D41" s="9">
        <v>30</v>
      </c>
      <c r="E41" s="9">
        <v>10</v>
      </c>
      <c r="F41" s="9">
        <v>209</v>
      </c>
      <c r="G41" s="9">
        <v>58</v>
      </c>
      <c r="H41" s="9">
        <v>125</v>
      </c>
      <c r="I41" s="9">
        <v>35</v>
      </c>
      <c r="J41" s="9">
        <v>519</v>
      </c>
      <c r="K41" s="9">
        <v>140</v>
      </c>
      <c r="L41" s="41">
        <v>659</v>
      </c>
      <c r="N41" s="40" t="s">
        <v>66</v>
      </c>
      <c r="O41" s="9">
        <v>155</v>
      </c>
      <c r="P41" s="9">
        <v>36</v>
      </c>
      <c r="Q41" s="9">
        <v>30</v>
      </c>
      <c r="R41" s="9">
        <v>10</v>
      </c>
      <c r="S41" s="9">
        <v>208</v>
      </c>
      <c r="T41" s="9">
        <v>57</v>
      </c>
      <c r="U41" s="9">
        <v>125</v>
      </c>
      <c r="V41" s="9">
        <v>36</v>
      </c>
      <c r="W41" s="9">
        <v>518</v>
      </c>
      <c r="X41" s="9">
        <v>139</v>
      </c>
      <c r="Y41" s="41">
        <v>657</v>
      </c>
      <c r="AA41" s="40" t="s">
        <v>66</v>
      </c>
      <c r="AB41" s="9">
        <v>127</v>
      </c>
      <c r="AC41" s="9">
        <v>30</v>
      </c>
      <c r="AD41" s="9">
        <v>25</v>
      </c>
      <c r="AE41" s="9">
        <v>8</v>
      </c>
      <c r="AF41" s="9">
        <v>170</v>
      </c>
      <c r="AG41" s="9">
        <v>47</v>
      </c>
      <c r="AH41" s="9">
        <v>102</v>
      </c>
      <c r="AI41" s="9">
        <v>29</v>
      </c>
      <c r="AJ41" s="9">
        <v>424</v>
      </c>
      <c r="AK41" s="9">
        <v>114</v>
      </c>
      <c r="AL41" s="41">
        <v>538</v>
      </c>
      <c r="AN41" s="40" t="s">
        <v>66</v>
      </c>
      <c r="AO41" s="46">
        <v>129</v>
      </c>
      <c r="AP41" s="46">
        <v>30</v>
      </c>
      <c r="AQ41" s="46">
        <v>25</v>
      </c>
      <c r="AR41" s="46">
        <v>9</v>
      </c>
      <c r="AS41" s="46">
        <v>174</v>
      </c>
      <c r="AT41" s="46">
        <v>48</v>
      </c>
      <c r="AU41" s="46">
        <v>104</v>
      </c>
      <c r="AV41" s="46">
        <v>29</v>
      </c>
      <c r="AW41" s="46">
        <v>432</v>
      </c>
      <c r="AX41" s="46">
        <v>116</v>
      </c>
      <c r="AY41" s="47">
        <v>548</v>
      </c>
      <c r="BA41" s="40" t="s">
        <v>66</v>
      </c>
      <c r="BB41" s="46">
        <v>18</v>
      </c>
      <c r="BC41" s="46">
        <v>4</v>
      </c>
      <c r="BD41" s="46">
        <v>2</v>
      </c>
      <c r="BE41" s="46">
        <v>2</v>
      </c>
      <c r="BF41" s="46">
        <v>22</v>
      </c>
      <c r="BG41" s="46">
        <v>6</v>
      </c>
      <c r="BH41" s="46">
        <v>12</v>
      </c>
      <c r="BI41" s="46">
        <v>2</v>
      </c>
      <c r="BJ41" s="46">
        <v>54</v>
      </c>
      <c r="BK41" s="46">
        <v>14</v>
      </c>
      <c r="BL41" s="47">
        <v>68</v>
      </c>
    </row>
    <row r="42" spans="1:64" ht="32">
      <c r="A42" s="40" t="s">
        <v>67</v>
      </c>
      <c r="B42" s="9">
        <v>178</v>
      </c>
      <c r="C42" s="9">
        <v>28</v>
      </c>
      <c r="D42" s="9">
        <v>32</v>
      </c>
      <c r="E42" s="9">
        <v>8</v>
      </c>
      <c r="F42" s="9">
        <v>218</v>
      </c>
      <c r="G42" s="9">
        <v>46</v>
      </c>
      <c r="H42" s="9">
        <v>115</v>
      </c>
      <c r="I42" s="9">
        <v>28</v>
      </c>
      <c r="J42" s="9">
        <v>543</v>
      </c>
      <c r="K42" s="9">
        <v>110</v>
      </c>
      <c r="L42" s="41">
        <v>653</v>
      </c>
      <c r="N42" s="40" t="s">
        <v>67</v>
      </c>
      <c r="O42" s="9">
        <v>177</v>
      </c>
      <c r="P42" s="9">
        <v>28</v>
      </c>
      <c r="Q42" s="9">
        <v>32</v>
      </c>
      <c r="R42" s="9">
        <v>8</v>
      </c>
      <c r="S42" s="9">
        <v>217</v>
      </c>
      <c r="T42" s="9">
        <v>45</v>
      </c>
      <c r="U42" s="9">
        <v>114</v>
      </c>
      <c r="V42" s="9">
        <v>28</v>
      </c>
      <c r="W42" s="9">
        <v>540</v>
      </c>
      <c r="X42" s="9">
        <v>109</v>
      </c>
      <c r="Y42" s="41">
        <v>649</v>
      </c>
      <c r="AA42" s="40" t="s">
        <v>67</v>
      </c>
      <c r="AB42" s="9">
        <v>145</v>
      </c>
      <c r="AC42" s="9">
        <v>23</v>
      </c>
      <c r="AD42" s="9">
        <v>26</v>
      </c>
      <c r="AE42" s="9">
        <v>7</v>
      </c>
      <c r="AF42" s="9">
        <v>178</v>
      </c>
      <c r="AG42" s="9">
        <v>37</v>
      </c>
      <c r="AH42" s="9">
        <v>93</v>
      </c>
      <c r="AI42" s="9">
        <v>23</v>
      </c>
      <c r="AJ42" s="9">
        <v>442</v>
      </c>
      <c r="AK42" s="9">
        <v>90</v>
      </c>
      <c r="AL42" s="41">
        <v>532</v>
      </c>
      <c r="AN42" s="40" t="s">
        <v>67</v>
      </c>
      <c r="AO42" s="46">
        <v>148</v>
      </c>
      <c r="AP42" s="46">
        <v>24</v>
      </c>
      <c r="AQ42" s="46">
        <v>27</v>
      </c>
      <c r="AR42" s="46">
        <v>7</v>
      </c>
      <c r="AS42" s="46">
        <v>182</v>
      </c>
      <c r="AT42" s="46">
        <v>38</v>
      </c>
      <c r="AU42" s="46">
        <v>95</v>
      </c>
      <c r="AV42" s="46">
        <v>22</v>
      </c>
      <c r="AW42" s="46">
        <v>452</v>
      </c>
      <c r="AX42" s="46">
        <v>91</v>
      </c>
      <c r="AY42" s="47">
        <v>543</v>
      </c>
      <c r="BA42" s="40" t="s">
        <v>67</v>
      </c>
      <c r="BB42" s="46">
        <v>18</v>
      </c>
      <c r="BC42" s="46">
        <v>4</v>
      </c>
      <c r="BD42" s="46">
        <v>4</v>
      </c>
      <c r="BE42" s="9">
        <v>0</v>
      </c>
      <c r="BF42" s="46">
        <v>22</v>
      </c>
      <c r="BG42" s="46">
        <v>4</v>
      </c>
      <c r="BH42" s="46">
        <v>12</v>
      </c>
      <c r="BI42" s="46">
        <v>4</v>
      </c>
      <c r="BJ42" s="46">
        <v>56</v>
      </c>
      <c r="BK42" s="46">
        <v>12</v>
      </c>
      <c r="BL42" s="47">
        <v>68</v>
      </c>
    </row>
    <row r="43" spans="1:64" ht="32">
      <c r="A43" s="40" t="s">
        <v>68</v>
      </c>
      <c r="B43" s="9">
        <v>131</v>
      </c>
      <c r="C43" s="9">
        <v>20</v>
      </c>
      <c r="D43" s="9">
        <v>22</v>
      </c>
      <c r="E43" s="9">
        <v>6</v>
      </c>
      <c r="F43" s="9">
        <v>155</v>
      </c>
      <c r="G43" s="9">
        <v>32</v>
      </c>
      <c r="H43" s="9">
        <v>78</v>
      </c>
      <c r="I43" s="9">
        <v>19</v>
      </c>
      <c r="J43" s="9">
        <v>386</v>
      </c>
      <c r="K43" s="9">
        <v>77</v>
      </c>
      <c r="L43" s="41">
        <v>463</v>
      </c>
      <c r="N43" s="40" t="s">
        <v>68</v>
      </c>
      <c r="O43" s="9">
        <v>131</v>
      </c>
      <c r="P43" s="9">
        <v>20</v>
      </c>
      <c r="Q43" s="9">
        <v>22</v>
      </c>
      <c r="R43" s="9">
        <v>6</v>
      </c>
      <c r="S43" s="9">
        <v>154</v>
      </c>
      <c r="T43" s="9">
        <v>32</v>
      </c>
      <c r="U43" s="9">
        <v>77</v>
      </c>
      <c r="V43" s="9">
        <v>19</v>
      </c>
      <c r="W43" s="9">
        <v>384</v>
      </c>
      <c r="X43" s="9">
        <v>77</v>
      </c>
      <c r="Y43" s="41">
        <v>461</v>
      </c>
      <c r="AA43" s="40" t="s">
        <v>68</v>
      </c>
      <c r="AB43" s="9">
        <v>107</v>
      </c>
      <c r="AC43" s="9">
        <v>16</v>
      </c>
      <c r="AD43" s="9">
        <v>18</v>
      </c>
      <c r="AE43" s="9">
        <v>5</v>
      </c>
      <c r="AF43" s="9">
        <v>126</v>
      </c>
      <c r="AG43" s="9">
        <v>26</v>
      </c>
      <c r="AH43" s="9">
        <v>64</v>
      </c>
      <c r="AI43" s="9">
        <v>16</v>
      </c>
      <c r="AJ43" s="9">
        <v>315</v>
      </c>
      <c r="AK43" s="9">
        <v>63</v>
      </c>
      <c r="AL43" s="41">
        <v>378</v>
      </c>
      <c r="AN43" s="40" t="s">
        <v>68</v>
      </c>
      <c r="AO43" s="46">
        <v>109</v>
      </c>
      <c r="AP43" s="46">
        <v>16</v>
      </c>
      <c r="AQ43" s="46">
        <v>18</v>
      </c>
      <c r="AR43" s="46">
        <v>5</v>
      </c>
      <c r="AS43" s="46">
        <v>129</v>
      </c>
      <c r="AT43" s="46">
        <v>27</v>
      </c>
      <c r="AU43" s="46">
        <v>65</v>
      </c>
      <c r="AV43" s="46">
        <v>16</v>
      </c>
      <c r="AW43" s="46">
        <v>321</v>
      </c>
      <c r="AX43" s="46">
        <v>64</v>
      </c>
      <c r="AY43" s="47">
        <v>385</v>
      </c>
      <c r="BA43" s="40" t="s">
        <v>68</v>
      </c>
      <c r="BB43" s="46">
        <v>14</v>
      </c>
      <c r="BC43" s="46">
        <v>2</v>
      </c>
      <c r="BD43" s="46">
        <v>2</v>
      </c>
      <c r="BE43" s="9">
        <v>0</v>
      </c>
      <c r="BF43" s="46">
        <v>18</v>
      </c>
      <c r="BG43" s="46">
        <v>4</v>
      </c>
      <c r="BH43" s="46">
        <v>10</v>
      </c>
      <c r="BI43" s="46">
        <v>2</v>
      </c>
      <c r="BJ43" s="46">
        <v>44</v>
      </c>
      <c r="BK43" s="46">
        <v>8</v>
      </c>
      <c r="BL43" s="47">
        <v>52</v>
      </c>
    </row>
    <row r="44" spans="1:64">
      <c r="A44" s="40" t="s">
        <v>162</v>
      </c>
      <c r="B44" s="9">
        <v>66</v>
      </c>
      <c r="C44" s="9">
        <v>8</v>
      </c>
      <c r="D44" s="9">
        <v>11</v>
      </c>
      <c r="E44" s="9">
        <v>2</v>
      </c>
      <c r="F44" s="9">
        <v>80</v>
      </c>
      <c r="G44" s="9">
        <v>12</v>
      </c>
      <c r="H44" s="9">
        <v>44</v>
      </c>
      <c r="I44" s="9">
        <v>8</v>
      </c>
      <c r="J44" s="9">
        <v>201</v>
      </c>
      <c r="K44" s="9">
        <v>30</v>
      </c>
      <c r="L44" s="41">
        <v>231</v>
      </c>
      <c r="N44" s="40" t="s">
        <v>162</v>
      </c>
      <c r="O44" s="9">
        <v>65</v>
      </c>
      <c r="P44" s="9">
        <v>8</v>
      </c>
      <c r="Q44" s="9">
        <v>11</v>
      </c>
      <c r="R44" s="9">
        <v>2</v>
      </c>
      <c r="S44" s="9">
        <v>80</v>
      </c>
      <c r="T44" s="9">
        <v>12</v>
      </c>
      <c r="U44" s="9">
        <v>44</v>
      </c>
      <c r="V44" s="9">
        <v>8</v>
      </c>
      <c r="W44" s="9">
        <v>200</v>
      </c>
      <c r="X44" s="9">
        <v>30</v>
      </c>
      <c r="Y44" s="41">
        <v>230</v>
      </c>
      <c r="AA44" s="40" t="s">
        <v>162</v>
      </c>
      <c r="AB44" s="9">
        <v>54</v>
      </c>
      <c r="AC44" s="9">
        <v>6</v>
      </c>
      <c r="AD44" s="9">
        <v>9</v>
      </c>
      <c r="AE44" s="9">
        <v>2</v>
      </c>
      <c r="AF44" s="9">
        <v>65</v>
      </c>
      <c r="AG44" s="9">
        <v>10</v>
      </c>
      <c r="AH44" s="9">
        <v>36</v>
      </c>
      <c r="AI44" s="9">
        <v>6</v>
      </c>
      <c r="AJ44" s="9">
        <v>164</v>
      </c>
      <c r="AK44" s="9">
        <v>24</v>
      </c>
      <c r="AL44" s="41">
        <v>188</v>
      </c>
      <c r="AN44" s="40" t="s">
        <v>162</v>
      </c>
      <c r="AO44" s="46">
        <v>54</v>
      </c>
      <c r="AP44" s="46">
        <v>6</v>
      </c>
      <c r="AQ44" s="46">
        <v>9</v>
      </c>
      <c r="AR44" s="46">
        <v>2</v>
      </c>
      <c r="AS44" s="46">
        <v>67</v>
      </c>
      <c r="AT44" s="46">
        <v>10</v>
      </c>
      <c r="AU44" s="46">
        <v>37</v>
      </c>
      <c r="AV44" s="46">
        <v>7</v>
      </c>
      <c r="AW44" s="46">
        <v>167</v>
      </c>
      <c r="AX44" s="46">
        <v>25</v>
      </c>
      <c r="AY44" s="47">
        <v>192</v>
      </c>
      <c r="BA44" s="40" t="s">
        <v>162</v>
      </c>
      <c r="BB44" s="46">
        <v>6</v>
      </c>
      <c r="BC44" s="9">
        <v>0</v>
      </c>
      <c r="BD44" s="46">
        <v>2</v>
      </c>
      <c r="BE44" s="9">
        <v>0</v>
      </c>
      <c r="BF44" s="46">
        <v>8</v>
      </c>
      <c r="BG44" s="9">
        <v>0</v>
      </c>
      <c r="BH44" s="46">
        <v>4</v>
      </c>
      <c r="BI44" s="46">
        <v>2</v>
      </c>
      <c r="BJ44" s="46">
        <v>20</v>
      </c>
      <c r="BK44" s="46">
        <v>2</v>
      </c>
      <c r="BL44" s="47">
        <v>22</v>
      </c>
    </row>
    <row r="45" spans="1:64" ht="17.5" thickBot="1">
      <c r="A45" s="42" t="s">
        <v>160</v>
      </c>
      <c r="B45" s="16">
        <v>998</v>
      </c>
      <c r="C45" s="16">
        <v>998</v>
      </c>
      <c r="D45" s="16">
        <v>222</v>
      </c>
      <c r="E45" s="16">
        <v>222</v>
      </c>
      <c r="F45" s="17">
        <v>1429</v>
      </c>
      <c r="G45" s="17">
        <v>1429</v>
      </c>
      <c r="H45" s="16">
        <v>870</v>
      </c>
      <c r="I45" s="16">
        <v>870</v>
      </c>
      <c r="J45" s="17">
        <v>3519</v>
      </c>
      <c r="K45" s="17">
        <v>3519</v>
      </c>
      <c r="L45" s="43">
        <v>7038</v>
      </c>
      <c r="N45" s="42" t="s">
        <v>160</v>
      </c>
      <c r="O45" s="16">
        <v>992</v>
      </c>
      <c r="P45" s="16">
        <v>992</v>
      </c>
      <c r="Q45" s="16">
        <v>221</v>
      </c>
      <c r="R45" s="16">
        <v>221</v>
      </c>
      <c r="S45" s="17">
        <v>1420</v>
      </c>
      <c r="T45" s="17">
        <v>1420</v>
      </c>
      <c r="U45" s="16">
        <v>865</v>
      </c>
      <c r="V45" s="16">
        <v>865</v>
      </c>
      <c r="W45" s="17">
        <v>3498</v>
      </c>
      <c r="X45" s="17">
        <v>3498</v>
      </c>
      <c r="Y45" s="43">
        <v>6996</v>
      </c>
      <c r="AA45" s="42" t="s">
        <v>160</v>
      </c>
      <c r="AB45" s="16">
        <v>813</v>
      </c>
      <c r="AC45" s="16">
        <v>813</v>
      </c>
      <c r="AD45" s="16">
        <v>181</v>
      </c>
      <c r="AE45" s="16">
        <v>181</v>
      </c>
      <c r="AF45" s="17">
        <v>1164</v>
      </c>
      <c r="AG45" s="17">
        <v>1164</v>
      </c>
      <c r="AH45" s="16">
        <v>708</v>
      </c>
      <c r="AI45" s="16">
        <v>708</v>
      </c>
      <c r="AJ45" s="17">
        <v>2866</v>
      </c>
      <c r="AK45" s="17">
        <v>2866</v>
      </c>
      <c r="AL45" s="43">
        <v>5732</v>
      </c>
      <c r="AN45" s="42" t="s">
        <v>160</v>
      </c>
      <c r="AO45" s="48">
        <v>829</v>
      </c>
      <c r="AP45" s="48">
        <v>829</v>
      </c>
      <c r="AQ45" s="48">
        <v>185</v>
      </c>
      <c r="AR45" s="48">
        <v>185</v>
      </c>
      <c r="AS45" s="51">
        <v>1187</v>
      </c>
      <c r="AT45" s="51">
        <v>1187</v>
      </c>
      <c r="AU45" s="48">
        <v>722</v>
      </c>
      <c r="AV45" s="48">
        <v>722</v>
      </c>
      <c r="AW45" s="51">
        <v>2923</v>
      </c>
      <c r="AX45" s="51">
        <v>2923</v>
      </c>
      <c r="AY45" s="52">
        <v>5846</v>
      </c>
      <c r="BA45" s="42" t="s">
        <v>160</v>
      </c>
      <c r="BB45" s="48">
        <v>104</v>
      </c>
      <c r="BC45" s="48">
        <v>104</v>
      </c>
      <c r="BD45" s="48">
        <v>22</v>
      </c>
      <c r="BE45" s="48">
        <v>22</v>
      </c>
      <c r="BF45" s="48">
        <v>146</v>
      </c>
      <c r="BG45" s="48">
        <v>146</v>
      </c>
      <c r="BH45" s="48">
        <v>90</v>
      </c>
      <c r="BI45" s="48">
        <v>90</v>
      </c>
      <c r="BJ45" s="48">
        <v>362</v>
      </c>
      <c r="BK45" s="48">
        <v>362</v>
      </c>
      <c r="BL45" s="49">
        <v>724</v>
      </c>
    </row>
    <row r="46" spans="1:64" ht="17.5" thickTop="1">
      <c r="A46" s="56"/>
      <c r="B46" s="20"/>
      <c r="C46" s="20"/>
      <c r="D46" s="20"/>
      <c r="E46" s="20"/>
      <c r="F46" s="21"/>
      <c r="G46" s="21"/>
      <c r="H46" s="20"/>
      <c r="I46" s="20"/>
      <c r="J46" s="21"/>
      <c r="K46" s="21"/>
      <c r="L46" s="21"/>
    </row>
    <row r="47" spans="1:64" ht="17.5" thickBot="1">
      <c r="A47" s="57" t="s">
        <v>180</v>
      </c>
      <c r="N47" t="s">
        <v>182</v>
      </c>
      <c r="AA47" s="57" t="s">
        <v>185</v>
      </c>
      <c r="AN47" s="63" t="s">
        <v>186</v>
      </c>
      <c r="BA47" s="57" t="s">
        <v>187</v>
      </c>
    </row>
    <row r="48" spans="1:64" ht="17.5" thickTop="1">
      <c r="A48" s="642" t="s">
        <v>39</v>
      </c>
      <c r="B48" s="645" t="s">
        <v>173</v>
      </c>
      <c r="C48" s="646"/>
      <c r="D48" s="646"/>
      <c r="E48" s="646"/>
      <c r="F48" s="646"/>
      <c r="G48" s="646"/>
      <c r="H48" s="647"/>
      <c r="N48" s="544" t="s">
        <v>39</v>
      </c>
      <c r="O48" s="58" t="s">
        <v>181</v>
      </c>
      <c r="P48" s="59"/>
      <c r="Q48" s="59"/>
      <c r="R48" s="59"/>
      <c r="S48" s="59"/>
      <c r="T48" s="59"/>
      <c r="U48" s="62"/>
      <c r="AA48" s="544" t="s">
        <v>175</v>
      </c>
      <c r="AB48" s="638" t="s">
        <v>181</v>
      </c>
      <c r="AC48" s="639"/>
      <c r="AD48" s="639"/>
      <c r="AE48" s="639"/>
      <c r="AF48" s="639"/>
      <c r="AG48" s="639"/>
      <c r="AH48" s="640"/>
      <c r="AN48" s="544" t="s">
        <v>177</v>
      </c>
      <c r="AO48" s="638" t="s">
        <v>181</v>
      </c>
      <c r="AP48" s="639"/>
      <c r="AQ48" s="639"/>
      <c r="AR48" s="639"/>
      <c r="AS48" s="639"/>
      <c r="AT48" s="639"/>
      <c r="AU48" s="640"/>
      <c r="BA48" s="544" t="s">
        <v>39</v>
      </c>
      <c r="BB48" s="638" t="s">
        <v>181</v>
      </c>
      <c r="BC48" s="639"/>
      <c r="BD48" s="639"/>
      <c r="BE48" s="639"/>
      <c r="BF48" s="639"/>
      <c r="BG48" s="639"/>
      <c r="BH48" s="640"/>
    </row>
    <row r="49" spans="1:60">
      <c r="A49" s="643"/>
      <c r="B49" s="648" t="s">
        <v>156</v>
      </c>
      <c r="C49" s="649"/>
      <c r="D49" s="648" t="s">
        <v>174</v>
      </c>
      <c r="E49" s="649"/>
      <c r="F49" s="648" t="s">
        <v>160</v>
      </c>
      <c r="G49" s="650"/>
      <c r="H49" s="649"/>
      <c r="N49" s="641"/>
      <c r="O49" s="35" t="s">
        <v>156</v>
      </c>
      <c r="P49" s="60"/>
      <c r="Q49" s="35" t="s">
        <v>174</v>
      </c>
      <c r="R49" s="60"/>
      <c r="S49" s="35" t="s">
        <v>160</v>
      </c>
      <c r="T49" s="61"/>
      <c r="U49" s="60"/>
      <c r="AA49" s="641"/>
      <c r="AB49" s="550" t="s">
        <v>156</v>
      </c>
      <c r="AC49" s="551"/>
      <c r="AD49" s="550" t="s">
        <v>174</v>
      </c>
      <c r="AE49" s="551"/>
      <c r="AF49" s="550" t="s">
        <v>160</v>
      </c>
      <c r="AG49" s="552"/>
      <c r="AH49" s="551"/>
      <c r="AN49" s="641"/>
      <c r="AO49" s="550" t="s">
        <v>156</v>
      </c>
      <c r="AP49" s="551"/>
      <c r="AQ49" s="550" t="s">
        <v>174</v>
      </c>
      <c r="AR49" s="551"/>
      <c r="AS49" s="550" t="s">
        <v>160</v>
      </c>
      <c r="AT49" s="552"/>
      <c r="AU49" s="551"/>
      <c r="BA49" s="641"/>
      <c r="BB49" s="550" t="s">
        <v>156</v>
      </c>
      <c r="BC49" s="551"/>
      <c r="BD49" s="550" t="s">
        <v>174</v>
      </c>
      <c r="BE49" s="551"/>
      <c r="BF49" s="550" t="s">
        <v>160</v>
      </c>
      <c r="BG49" s="552"/>
      <c r="BH49" s="551"/>
    </row>
    <row r="50" spans="1:60" ht="17.5" thickBot="1">
      <c r="A50" s="644"/>
      <c r="B50" s="50" t="s">
        <v>40</v>
      </c>
      <c r="C50" s="50" t="s">
        <v>41</v>
      </c>
      <c r="D50" s="50" t="s">
        <v>40</v>
      </c>
      <c r="E50" s="50" t="s">
        <v>41</v>
      </c>
      <c r="F50" s="50" t="s">
        <v>40</v>
      </c>
      <c r="G50" s="50" t="s">
        <v>41</v>
      </c>
      <c r="H50" s="50" t="s">
        <v>21</v>
      </c>
      <c r="N50" s="546"/>
      <c r="O50" s="36" t="s">
        <v>40</v>
      </c>
      <c r="P50" s="36" t="s">
        <v>41</v>
      </c>
      <c r="Q50" s="36" t="s">
        <v>40</v>
      </c>
      <c r="R50" s="36" t="s">
        <v>41</v>
      </c>
      <c r="S50" s="36" t="s">
        <v>40</v>
      </c>
      <c r="T50" s="36" t="s">
        <v>41</v>
      </c>
      <c r="U50" s="36" t="s">
        <v>21</v>
      </c>
      <c r="AA50" s="546"/>
      <c r="AB50" s="36" t="s">
        <v>40</v>
      </c>
      <c r="AC50" s="36" t="s">
        <v>41</v>
      </c>
      <c r="AD50" s="36" t="s">
        <v>40</v>
      </c>
      <c r="AE50" s="36" t="s">
        <v>41</v>
      </c>
      <c r="AF50" s="36" t="s">
        <v>40</v>
      </c>
      <c r="AG50" s="36" t="s">
        <v>41</v>
      </c>
      <c r="AH50" s="36" t="s">
        <v>21</v>
      </c>
      <c r="AN50" s="546"/>
      <c r="AO50" s="36" t="s">
        <v>40</v>
      </c>
      <c r="AP50" s="36" t="s">
        <v>41</v>
      </c>
      <c r="AQ50" s="36" t="s">
        <v>40</v>
      </c>
      <c r="AR50" s="36" t="s">
        <v>41</v>
      </c>
      <c r="AS50" s="36" t="s">
        <v>40</v>
      </c>
      <c r="AT50" s="36" t="s">
        <v>41</v>
      </c>
      <c r="AU50" s="36" t="s">
        <v>21</v>
      </c>
      <c r="BA50" s="546"/>
      <c r="BB50" s="36" t="s">
        <v>40</v>
      </c>
      <c r="BC50" s="36" t="s">
        <v>41</v>
      </c>
      <c r="BD50" s="36" t="s">
        <v>40</v>
      </c>
      <c r="BE50" s="36" t="s">
        <v>41</v>
      </c>
      <c r="BF50" s="36" t="s">
        <v>40</v>
      </c>
      <c r="BG50" s="36" t="s">
        <v>41</v>
      </c>
      <c r="BH50" s="36" t="s">
        <v>21</v>
      </c>
    </row>
    <row r="51" spans="1:60" ht="17.5" thickTop="1">
      <c r="A51" s="38" t="s">
        <v>161</v>
      </c>
      <c r="B51" s="44" t="s">
        <v>22</v>
      </c>
      <c r="C51" s="44">
        <v>31</v>
      </c>
      <c r="D51" s="44">
        <v>5</v>
      </c>
      <c r="E51" s="44">
        <v>5</v>
      </c>
      <c r="F51" s="44">
        <v>5</v>
      </c>
      <c r="G51" s="44">
        <v>36</v>
      </c>
      <c r="H51" s="44">
        <v>41</v>
      </c>
      <c r="N51" s="38" t="s">
        <v>161</v>
      </c>
      <c r="O51" s="44" t="s">
        <v>22</v>
      </c>
      <c r="P51" s="44">
        <v>31</v>
      </c>
      <c r="Q51" s="44">
        <v>5</v>
      </c>
      <c r="R51" s="44">
        <v>5</v>
      </c>
      <c r="S51" s="44">
        <v>5</v>
      </c>
      <c r="T51" s="44">
        <v>36</v>
      </c>
      <c r="U51" s="44">
        <v>41</v>
      </c>
      <c r="AA51" s="38" t="s">
        <v>161</v>
      </c>
      <c r="AB51" s="44" t="s">
        <v>22</v>
      </c>
      <c r="AC51" s="44">
        <v>26</v>
      </c>
      <c r="AD51" s="44">
        <v>4</v>
      </c>
      <c r="AE51" s="44">
        <v>4</v>
      </c>
      <c r="AF51" s="44">
        <v>4</v>
      </c>
      <c r="AG51" s="44">
        <v>30</v>
      </c>
      <c r="AH51" s="44">
        <v>34</v>
      </c>
      <c r="AN51" s="38" t="s">
        <v>161</v>
      </c>
      <c r="AO51" s="44" t="s">
        <v>22</v>
      </c>
      <c r="AP51" s="44">
        <v>26</v>
      </c>
      <c r="AQ51" s="44">
        <v>4</v>
      </c>
      <c r="AR51" s="44">
        <v>4</v>
      </c>
      <c r="AS51" s="44">
        <v>4</v>
      </c>
      <c r="AT51" s="44">
        <v>30</v>
      </c>
      <c r="AU51" s="44">
        <v>34</v>
      </c>
      <c r="BA51" s="38" t="s">
        <v>161</v>
      </c>
      <c r="BB51" s="44">
        <v>0</v>
      </c>
      <c r="BC51" s="44">
        <v>4</v>
      </c>
      <c r="BD51" s="44">
        <v>0</v>
      </c>
      <c r="BE51" s="44">
        <v>0</v>
      </c>
      <c r="BF51" s="44">
        <v>0</v>
      </c>
      <c r="BG51" s="44">
        <v>4</v>
      </c>
      <c r="BH51" s="44">
        <v>4</v>
      </c>
    </row>
    <row r="52" spans="1:60" ht="32">
      <c r="A52" s="40" t="s">
        <v>55</v>
      </c>
      <c r="B52" s="46">
        <v>1</v>
      </c>
      <c r="C52" s="46">
        <v>105</v>
      </c>
      <c r="D52" s="46">
        <v>16</v>
      </c>
      <c r="E52" s="46">
        <v>16</v>
      </c>
      <c r="F52" s="46">
        <v>17</v>
      </c>
      <c r="G52" s="46">
        <v>121</v>
      </c>
      <c r="H52" s="46">
        <v>138</v>
      </c>
      <c r="N52" s="40" t="s">
        <v>55</v>
      </c>
      <c r="O52" s="46">
        <v>1</v>
      </c>
      <c r="P52" s="46">
        <v>104</v>
      </c>
      <c r="Q52" s="46">
        <v>16</v>
      </c>
      <c r="R52" s="46">
        <v>16</v>
      </c>
      <c r="S52" s="46">
        <v>17</v>
      </c>
      <c r="T52" s="46">
        <v>120</v>
      </c>
      <c r="U52" s="46">
        <v>137</v>
      </c>
      <c r="AA52" s="40" t="s">
        <v>55</v>
      </c>
      <c r="AB52" s="46">
        <v>1</v>
      </c>
      <c r="AC52" s="46">
        <v>85</v>
      </c>
      <c r="AD52" s="46">
        <v>12</v>
      </c>
      <c r="AE52" s="46">
        <v>12</v>
      </c>
      <c r="AF52" s="46">
        <v>13</v>
      </c>
      <c r="AG52" s="46">
        <v>97</v>
      </c>
      <c r="AH52" s="46">
        <v>110</v>
      </c>
      <c r="AN52" s="40" t="s">
        <v>55</v>
      </c>
      <c r="AO52" s="46">
        <v>1</v>
      </c>
      <c r="AP52" s="46">
        <v>87</v>
      </c>
      <c r="AQ52" s="46">
        <v>14</v>
      </c>
      <c r="AR52" s="46">
        <v>14</v>
      </c>
      <c r="AS52" s="46">
        <v>15</v>
      </c>
      <c r="AT52" s="46">
        <v>101</v>
      </c>
      <c r="AU52" s="46">
        <v>116</v>
      </c>
      <c r="BA52" s="40" t="s">
        <v>55</v>
      </c>
      <c r="BB52" s="46">
        <v>0</v>
      </c>
      <c r="BC52" s="46">
        <v>10</v>
      </c>
      <c r="BD52" s="46">
        <v>2</v>
      </c>
      <c r="BE52" s="46">
        <v>2</v>
      </c>
      <c r="BF52" s="46">
        <v>2</v>
      </c>
      <c r="BG52" s="46">
        <v>12</v>
      </c>
      <c r="BH52" s="46">
        <v>14</v>
      </c>
    </row>
    <row r="53" spans="1:60" ht="32">
      <c r="A53" s="40" t="s">
        <v>56</v>
      </c>
      <c r="B53" s="46">
        <v>6</v>
      </c>
      <c r="C53" s="46">
        <v>136</v>
      </c>
      <c r="D53" s="46">
        <v>22</v>
      </c>
      <c r="E53" s="46">
        <v>22</v>
      </c>
      <c r="F53" s="46">
        <v>28</v>
      </c>
      <c r="G53" s="46">
        <v>158</v>
      </c>
      <c r="H53" s="46">
        <v>186</v>
      </c>
      <c r="N53" s="40" t="s">
        <v>56</v>
      </c>
      <c r="O53" s="46">
        <v>6</v>
      </c>
      <c r="P53" s="46">
        <v>136</v>
      </c>
      <c r="Q53" s="46">
        <v>22</v>
      </c>
      <c r="R53" s="46">
        <v>22</v>
      </c>
      <c r="S53" s="46">
        <v>28</v>
      </c>
      <c r="T53" s="46">
        <v>158</v>
      </c>
      <c r="U53" s="46">
        <v>186</v>
      </c>
      <c r="AA53" s="40" t="s">
        <v>56</v>
      </c>
      <c r="AB53" s="46">
        <v>5</v>
      </c>
      <c r="AC53" s="46">
        <v>111</v>
      </c>
      <c r="AD53" s="46">
        <v>17</v>
      </c>
      <c r="AE53" s="46">
        <v>17</v>
      </c>
      <c r="AF53" s="46">
        <v>22</v>
      </c>
      <c r="AG53" s="46">
        <v>128</v>
      </c>
      <c r="AH53" s="46">
        <v>150</v>
      </c>
      <c r="AN53" s="40" t="s">
        <v>56</v>
      </c>
      <c r="AO53" s="46">
        <v>5</v>
      </c>
      <c r="AP53" s="46">
        <v>112</v>
      </c>
      <c r="AQ53" s="46">
        <v>18</v>
      </c>
      <c r="AR53" s="46">
        <v>18</v>
      </c>
      <c r="AS53" s="46">
        <v>23</v>
      </c>
      <c r="AT53" s="46">
        <v>130</v>
      </c>
      <c r="AU53" s="46">
        <v>153</v>
      </c>
      <c r="BA53" s="40" t="s">
        <v>56</v>
      </c>
      <c r="BB53" s="46">
        <v>0</v>
      </c>
      <c r="BC53" s="46">
        <v>12</v>
      </c>
      <c r="BD53" s="46">
        <v>2</v>
      </c>
      <c r="BE53" s="46">
        <v>2</v>
      </c>
      <c r="BF53" s="46">
        <v>2</v>
      </c>
      <c r="BG53" s="46">
        <v>14</v>
      </c>
      <c r="BH53" s="46">
        <v>16</v>
      </c>
    </row>
    <row r="54" spans="1:60" ht="32">
      <c r="A54" s="40" t="s">
        <v>57</v>
      </c>
      <c r="B54" s="46">
        <v>13</v>
      </c>
      <c r="C54" s="46">
        <v>47</v>
      </c>
      <c r="D54" s="46">
        <v>8</v>
      </c>
      <c r="E54" s="46">
        <v>8</v>
      </c>
      <c r="F54" s="46">
        <v>21</v>
      </c>
      <c r="G54" s="46">
        <v>55</v>
      </c>
      <c r="H54" s="46">
        <v>76</v>
      </c>
      <c r="N54" s="40" t="s">
        <v>57</v>
      </c>
      <c r="O54" s="46">
        <v>12</v>
      </c>
      <c r="P54" s="46">
        <v>46</v>
      </c>
      <c r="Q54" s="46">
        <v>8</v>
      </c>
      <c r="R54" s="46">
        <v>8</v>
      </c>
      <c r="S54" s="46">
        <v>20</v>
      </c>
      <c r="T54" s="46">
        <v>54</v>
      </c>
      <c r="U54" s="46">
        <v>74</v>
      </c>
      <c r="AA54" s="40" t="s">
        <v>57</v>
      </c>
      <c r="AB54" s="46">
        <v>10</v>
      </c>
      <c r="AC54" s="46">
        <v>38</v>
      </c>
      <c r="AD54" s="46">
        <v>7</v>
      </c>
      <c r="AE54" s="46">
        <v>7</v>
      </c>
      <c r="AF54" s="46">
        <v>17</v>
      </c>
      <c r="AG54" s="46">
        <v>45</v>
      </c>
      <c r="AH54" s="46">
        <v>62</v>
      </c>
      <c r="AN54" s="40" t="s">
        <v>57</v>
      </c>
      <c r="AO54" s="46">
        <v>10</v>
      </c>
      <c r="AP54" s="46">
        <v>38</v>
      </c>
      <c r="AQ54" s="46">
        <v>7</v>
      </c>
      <c r="AR54" s="46">
        <v>7</v>
      </c>
      <c r="AS54" s="46">
        <v>17</v>
      </c>
      <c r="AT54" s="46">
        <v>45</v>
      </c>
      <c r="AU54" s="46">
        <v>62</v>
      </c>
      <c r="BA54" s="40" t="s">
        <v>57</v>
      </c>
      <c r="BB54" s="46">
        <v>2</v>
      </c>
      <c r="BC54" s="46">
        <v>2</v>
      </c>
      <c r="BD54" s="46">
        <v>0</v>
      </c>
      <c r="BE54" s="46">
        <v>0</v>
      </c>
      <c r="BF54" s="46">
        <v>2</v>
      </c>
      <c r="BG54" s="46">
        <v>2</v>
      </c>
      <c r="BH54" s="46">
        <v>4</v>
      </c>
    </row>
    <row r="55" spans="1:60" ht="32">
      <c r="A55" s="40" t="s">
        <v>58</v>
      </c>
      <c r="B55" s="46">
        <v>22</v>
      </c>
      <c r="C55" s="46">
        <v>32</v>
      </c>
      <c r="D55" s="46">
        <v>7</v>
      </c>
      <c r="E55" s="46">
        <v>7</v>
      </c>
      <c r="F55" s="46">
        <v>29</v>
      </c>
      <c r="G55" s="46">
        <v>39</v>
      </c>
      <c r="H55" s="46">
        <v>68</v>
      </c>
      <c r="N55" s="40" t="s">
        <v>58</v>
      </c>
      <c r="O55" s="46">
        <v>22</v>
      </c>
      <c r="P55" s="46">
        <v>32</v>
      </c>
      <c r="Q55" s="46">
        <v>7</v>
      </c>
      <c r="R55" s="46">
        <v>7</v>
      </c>
      <c r="S55" s="46">
        <v>29</v>
      </c>
      <c r="T55" s="46">
        <v>39</v>
      </c>
      <c r="U55" s="46">
        <v>68</v>
      </c>
      <c r="AA55" s="40" t="s">
        <v>58</v>
      </c>
      <c r="AB55" s="46">
        <v>18</v>
      </c>
      <c r="AC55" s="46">
        <v>26</v>
      </c>
      <c r="AD55" s="46">
        <v>6</v>
      </c>
      <c r="AE55" s="46">
        <v>6</v>
      </c>
      <c r="AF55" s="46">
        <v>24</v>
      </c>
      <c r="AG55" s="46">
        <v>32</v>
      </c>
      <c r="AH55" s="46">
        <v>56</v>
      </c>
      <c r="AN55" s="40" t="s">
        <v>58</v>
      </c>
      <c r="AO55" s="46">
        <v>19</v>
      </c>
      <c r="AP55" s="46">
        <v>27</v>
      </c>
      <c r="AQ55" s="46">
        <v>6</v>
      </c>
      <c r="AR55" s="46">
        <v>6</v>
      </c>
      <c r="AS55" s="46">
        <v>25</v>
      </c>
      <c r="AT55" s="46">
        <v>33</v>
      </c>
      <c r="AU55" s="46">
        <v>58</v>
      </c>
      <c r="BA55" s="40" t="s">
        <v>58</v>
      </c>
      <c r="BB55" s="46">
        <v>2</v>
      </c>
      <c r="BC55" s="46">
        <v>4</v>
      </c>
      <c r="BD55" s="46">
        <v>0</v>
      </c>
      <c r="BE55" s="46">
        <v>0</v>
      </c>
      <c r="BF55" s="46">
        <v>2</v>
      </c>
      <c r="BG55" s="46">
        <v>4</v>
      </c>
      <c r="BH55" s="46">
        <v>6</v>
      </c>
    </row>
    <row r="56" spans="1:60" ht="32">
      <c r="A56" s="40" t="s">
        <v>59</v>
      </c>
      <c r="B56" s="46">
        <v>26</v>
      </c>
      <c r="C56" s="46">
        <v>29</v>
      </c>
      <c r="D56" s="46">
        <v>7</v>
      </c>
      <c r="E56" s="46">
        <v>7</v>
      </c>
      <c r="F56" s="46">
        <v>33</v>
      </c>
      <c r="G56" s="46">
        <v>36</v>
      </c>
      <c r="H56" s="46">
        <v>69</v>
      </c>
      <c r="N56" s="40" t="s">
        <v>59</v>
      </c>
      <c r="O56" s="46">
        <v>25</v>
      </c>
      <c r="P56" s="46">
        <v>28</v>
      </c>
      <c r="Q56" s="46">
        <v>7</v>
      </c>
      <c r="R56" s="46">
        <v>7</v>
      </c>
      <c r="S56" s="46">
        <v>32</v>
      </c>
      <c r="T56" s="46">
        <v>35</v>
      </c>
      <c r="U56" s="46">
        <v>67</v>
      </c>
      <c r="AA56" s="40" t="s">
        <v>59</v>
      </c>
      <c r="AB56" s="46">
        <v>21</v>
      </c>
      <c r="AC56" s="46">
        <v>23</v>
      </c>
      <c r="AD56" s="46">
        <v>6</v>
      </c>
      <c r="AE56" s="46">
        <v>6</v>
      </c>
      <c r="AF56" s="46">
        <v>27</v>
      </c>
      <c r="AG56" s="46">
        <v>29</v>
      </c>
      <c r="AH56" s="46">
        <v>56</v>
      </c>
      <c r="AN56" s="40" t="s">
        <v>59</v>
      </c>
      <c r="AO56" s="46">
        <v>21</v>
      </c>
      <c r="AP56" s="46">
        <v>24</v>
      </c>
      <c r="AQ56" s="46">
        <v>6</v>
      </c>
      <c r="AR56" s="46">
        <v>6</v>
      </c>
      <c r="AS56" s="46">
        <v>27</v>
      </c>
      <c r="AT56" s="46">
        <v>30</v>
      </c>
      <c r="AU56" s="46">
        <v>57</v>
      </c>
      <c r="BA56" s="40" t="s">
        <v>59</v>
      </c>
      <c r="BB56" s="46">
        <v>2</v>
      </c>
      <c r="BC56" s="46">
        <v>2</v>
      </c>
      <c r="BD56" s="46">
        <v>0</v>
      </c>
      <c r="BE56" s="46">
        <v>0</v>
      </c>
      <c r="BF56" s="46">
        <v>2</v>
      </c>
      <c r="BG56" s="46">
        <v>2</v>
      </c>
      <c r="BH56" s="46">
        <v>4</v>
      </c>
    </row>
    <row r="57" spans="1:60" ht="32">
      <c r="A57" s="40" t="s">
        <v>60</v>
      </c>
      <c r="B57" s="46">
        <v>27</v>
      </c>
      <c r="C57" s="46">
        <v>29</v>
      </c>
      <c r="D57" s="46">
        <v>7</v>
      </c>
      <c r="E57" s="46">
        <v>7</v>
      </c>
      <c r="F57" s="46">
        <v>34</v>
      </c>
      <c r="G57" s="46">
        <v>36</v>
      </c>
      <c r="H57" s="46">
        <v>70</v>
      </c>
      <c r="N57" s="40" t="s">
        <v>60</v>
      </c>
      <c r="O57" s="46">
        <v>27</v>
      </c>
      <c r="P57" s="46">
        <v>29</v>
      </c>
      <c r="Q57" s="46">
        <v>7</v>
      </c>
      <c r="R57" s="46">
        <v>7</v>
      </c>
      <c r="S57" s="46">
        <v>34</v>
      </c>
      <c r="T57" s="46">
        <v>36</v>
      </c>
      <c r="U57" s="46">
        <v>70</v>
      </c>
      <c r="AA57" s="40" t="s">
        <v>60</v>
      </c>
      <c r="AB57" s="46">
        <v>22</v>
      </c>
      <c r="AC57" s="46">
        <v>23</v>
      </c>
      <c r="AD57" s="46">
        <v>6</v>
      </c>
      <c r="AE57" s="46">
        <v>6</v>
      </c>
      <c r="AF57" s="46">
        <v>28</v>
      </c>
      <c r="AG57" s="46">
        <v>29</v>
      </c>
      <c r="AH57" s="46">
        <v>57</v>
      </c>
      <c r="AN57" s="40" t="s">
        <v>60</v>
      </c>
      <c r="AO57" s="46">
        <v>22</v>
      </c>
      <c r="AP57" s="46">
        <v>24</v>
      </c>
      <c r="AQ57" s="46">
        <v>6</v>
      </c>
      <c r="AR57" s="46">
        <v>6</v>
      </c>
      <c r="AS57" s="46">
        <v>28</v>
      </c>
      <c r="AT57" s="46">
        <v>30</v>
      </c>
      <c r="AU57" s="46">
        <v>58</v>
      </c>
      <c r="BA57" s="40" t="s">
        <v>60</v>
      </c>
      <c r="BB57" s="46">
        <v>2</v>
      </c>
      <c r="BC57" s="46">
        <v>4</v>
      </c>
      <c r="BD57" s="46">
        <v>0</v>
      </c>
      <c r="BE57" s="46">
        <v>0</v>
      </c>
      <c r="BF57" s="46">
        <v>2</v>
      </c>
      <c r="BG57" s="46">
        <v>4</v>
      </c>
      <c r="BH57" s="46">
        <v>6</v>
      </c>
    </row>
    <row r="58" spans="1:60" ht="32">
      <c r="A58" s="40" t="s">
        <v>61</v>
      </c>
      <c r="B58" s="46">
        <v>33</v>
      </c>
      <c r="C58" s="46">
        <v>32</v>
      </c>
      <c r="D58" s="46">
        <v>9</v>
      </c>
      <c r="E58" s="46">
        <v>9</v>
      </c>
      <c r="F58" s="46">
        <v>42</v>
      </c>
      <c r="G58" s="46">
        <v>41</v>
      </c>
      <c r="H58" s="46">
        <v>83</v>
      </c>
      <c r="N58" s="40" t="s">
        <v>61</v>
      </c>
      <c r="O58" s="46">
        <v>33</v>
      </c>
      <c r="P58" s="46">
        <v>32</v>
      </c>
      <c r="Q58" s="46">
        <v>9</v>
      </c>
      <c r="R58" s="46">
        <v>9</v>
      </c>
      <c r="S58" s="46">
        <v>42</v>
      </c>
      <c r="T58" s="46">
        <v>41</v>
      </c>
      <c r="U58" s="46">
        <v>83</v>
      </c>
      <c r="AA58" s="40" t="s">
        <v>61</v>
      </c>
      <c r="AB58" s="46">
        <v>27</v>
      </c>
      <c r="AC58" s="46">
        <v>26</v>
      </c>
      <c r="AD58" s="46">
        <v>7</v>
      </c>
      <c r="AE58" s="46">
        <v>7</v>
      </c>
      <c r="AF58" s="46">
        <v>34</v>
      </c>
      <c r="AG58" s="46">
        <v>33</v>
      </c>
      <c r="AH58" s="46">
        <v>67</v>
      </c>
      <c r="AN58" s="40" t="s">
        <v>61</v>
      </c>
      <c r="AO58" s="46">
        <v>28</v>
      </c>
      <c r="AP58" s="46">
        <v>27</v>
      </c>
      <c r="AQ58" s="46">
        <v>7</v>
      </c>
      <c r="AR58" s="46">
        <v>7</v>
      </c>
      <c r="AS58" s="46">
        <v>35</v>
      </c>
      <c r="AT58" s="46">
        <v>34</v>
      </c>
      <c r="AU58" s="46">
        <v>69</v>
      </c>
      <c r="BA58" s="40" t="s">
        <v>61</v>
      </c>
      <c r="BB58" s="46">
        <v>2</v>
      </c>
      <c r="BC58" s="46">
        <v>4</v>
      </c>
      <c r="BD58" s="46">
        <v>0</v>
      </c>
      <c r="BE58" s="46">
        <v>0</v>
      </c>
      <c r="BF58" s="46">
        <v>2</v>
      </c>
      <c r="BG58" s="46">
        <v>4</v>
      </c>
      <c r="BH58" s="46">
        <v>6</v>
      </c>
    </row>
    <row r="59" spans="1:60" ht="32">
      <c r="A59" s="40" t="s">
        <v>62</v>
      </c>
      <c r="B59" s="46">
        <v>37</v>
      </c>
      <c r="C59" s="46">
        <v>33</v>
      </c>
      <c r="D59" s="46">
        <v>10</v>
      </c>
      <c r="E59" s="46">
        <v>10</v>
      </c>
      <c r="F59" s="46">
        <v>47</v>
      </c>
      <c r="G59" s="46">
        <v>43</v>
      </c>
      <c r="H59" s="46">
        <v>90</v>
      </c>
      <c r="N59" s="40" t="s">
        <v>62</v>
      </c>
      <c r="O59" s="46">
        <v>37</v>
      </c>
      <c r="P59" s="46">
        <v>33</v>
      </c>
      <c r="Q59" s="46">
        <v>9</v>
      </c>
      <c r="R59" s="46">
        <v>9</v>
      </c>
      <c r="S59" s="46">
        <v>46</v>
      </c>
      <c r="T59" s="46">
        <v>42</v>
      </c>
      <c r="U59" s="46">
        <v>88</v>
      </c>
      <c r="AA59" s="40" t="s">
        <v>62</v>
      </c>
      <c r="AB59" s="46">
        <v>30</v>
      </c>
      <c r="AC59" s="46">
        <v>27</v>
      </c>
      <c r="AD59" s="46">
        <v>8</v>
      </c>
      <c r="AE59" s="46">
        <v>8</v>
      </c>
      <c r="AF59" s="46">
        <v>38</v>
      </c>
      <c r="AG59" s="46">
        <v>35</v>
      </c>
      <c r="AH59" s="46">
        <v>73</v>
      </c>
      <c r="AN59" s="40" t="s">
        <v>62</v>
      </c>
      <c r="AO59" s="46">
        <v>31</v>
      </c>
      <c r="AP59" s="46">
        <v>27</v>
      </c>
      <c r="AQ59" s="46">
        <v>8</v>
      </c>
      <c r="AR59" s="46">
        <v>8</v>
      </c>
      <c r="AS59" s="46">
        <v>39</v>
      </c>
      <c r="AT59" s="46">
        <v>35</v>
      </c>
      <c r="AU59" s="46">
        <v>74</v>
      </c>
      <c r="BA59" s="40" t="s">
        <v>62</v>
      </c>
      <c r="BB59" s="46">
        <v>4</v>
      </c>
      <c r="BC59" s="46">
        <v>4</v>
      </c>
      <c r="BD59" s="46">
        <v>0</v>
      </c>
      <c r="BE59" s="46">
        <v>0</v>
      </c>
      <c r="BF59" s="46">
        <v>4</v>
      </c>
      <c r="BG59" s="46">
        <v>4</v>
      </c>
      <c r="BH59" s="46">
        <v>8</v>
      </c>
    </row>
    <row r="60" spans="1:60" ht="32">
      <c r="A60" s="40" t="s">
        <v>63</v>
      </c>
      <c r="B60" s="46">
        <v>38</v>
      </c>
      <c r="C60" s="46">
        <v>32</v>
      </c>
      <c r="D60" s="46">
        <v>10</v>
      </c>
      <c r="E60" s="46">
        <v>10</v>
      </c>
      <c r="F60" s="46">
        <v>48</v>
      </c>
      <c r="G60" s="46">
        <v>42</v>
      </c>
      <c r="H60" s="46">
        <v>90</v>
      </c>
      <c r="N60" s="40" t="s">
        <v>63</v>
      </c>
      <c r="O60" s="46">
        <v>38</v>
      </c>
      <c r="P60" s="46">
        <v>31</v>
      </c>
      <c r="Q60" s="46">
        <v>9</v>
      </c>
      <c r="R60" s="46">
        <v>9</v>
      </c>
      <c r="S60" s="46">
        <v>47</v>
      </c>
      <c r="T60" s="46">
        <v>40</v>
      </c>
      <c r="U60" s="46">
        <v>87</v>
      </c>
      <c r="AA60" s="40" t="s">
        <v>63</v>
      </c>
      <c r="AB60" s="46">
        <v>31</v>
      </c>
      <c r="AC60" s="46">
        <v>26</v>
      </c>
      <c r="AD60" s="46">
        <v>8</v>
      </c>
      <c r="AE60" s="46">
        <v>8</v>
      </c>
      <c r="AF60" s="46">
        <v>39</v>
      </c>
      <c r="AG60" s="46">
        <v>34</v>
      </c>
      <c r="AH60" s="46">
        <v>73</v>
      </c>
      <c r="AN60" s="40" t="s">
        <v>63</v>
      </c>
      <c r="AO60" s="46">
        <v>31</v>
      </c>
      <c r="AP60" s="46">
        <v>26</v>
      </c>
      <c r="AQ60" s="46">
        <v>8</v>
      </c>
      <c r="AR60" s="46">
        <v>8</v>
      </c>
      <c r="AS60" s="46">
        <v>39</v>
      </c>
      <c r="AT60" s="46">
        <v>34</v>
      </c>
      <c r="AU60" s="46">
        <v>73</v>
      </c>
      <c r="BA60" s="40" t="s">
        <v>63</v>
      </c>
      <c r="BB60" s="46">
        <v>4</v>
      </c>
      <c r="BC60" s="46">
        <v>4</v>
      </c>
      <c r="BD60" s="46">
        <v>2</v>
      </c>
      <c r="BE60" s="46">
        <v>2</v>
      </c>
      <c r="BF60" s="46">
        <v>6</v>
      </c>
      <c r="BG60" s="46">
        <v>6</v>
      </c>
      <c r="BH60" s="46">
        <v>12</v>
      </c>
    </row>
    <row r="61" spans="1:60" ht="32">
      <c r="A61" s="40" t="s">
        <v>64</v>
      </c>
      <c r="B61" s="46">
        <v>42</v>
      </c>
      <c r="C61" s="46">
        <v>33</v>
      </c>
      <c r="D61" s="46">
        <v>10</v>
      </c>
      <c r="E61" s="46">
        <v>10</v>
      </c>
      <c r="F61" s="46">
        <v>52</v>
      </c>
      <c r="G61" s="46">
        <v>43</v>
      </c>
      <c r="H61" s="46">
        <v>95</v>
      </c>
      <c r="N61" s="40" t="s">
        <v>64</v>
      </c>
      <c r="O61" s="46">
        <v>43</v>
      </c>
      <c r="P61" s="46">
        <v>33</v>
      </c>
      <c r="Q61" s="46">
        <v>11</v>
      </c>
      <c r="R61" s="46">
        <v>11</v>
      </c>
      <c r="S61" s="46">
        <v>54</v>
      </c>
      <c r="T61" s="46">
        <v>44</v>
      </c>
      <c r="U61" s="46">
        <v>98</v>
      </c>
      <c r="AA61" s="40" t="s">
        <v>64</v>
      </c>
      <c r="AB61" s="46">
        <v>35</v>
      </c>
      <c r="AC61" s="46">
        <v>27</v>
      </c>
      <c r="AD61" s="46">
        <v>9</v>
      </c>
      <c r="AE61" s="46">
        <v>9</v>
      </c>
      <c r="AF61" s="46">
        <v>44</v>
      </c>
      <c r="AG61" s="46">
        <v>36</v>
      </c>
      <c r="AH61" s="46">
        <v>80</v>
      </c>
      <c r="AN61" s="40" t="s">
        <v>64</v>
      </c>
      <c r="AO61" s="46">
        <v>35</v>
      </c>
      <c r="AP61" s="46">
        <v>28</v>
      </c>
      <c r="AQ61" s="46">
        <v>9</v>
      </c>
      <c r="AR61" s="46">
        <v>9</v>
      </c>
      <c r="AS61" s="46">
        <v>44</v>
      </c>
      <c r="AT61" s="46">
        <v>37</v>
      </c>
      <c r="AU61" s="46">
        <v>81</v>
      </c>
      <c r="BA61" s="40" t="s">
        <v>64</v>
      </c>
      <c r="BB61" s="46">
        <v>4</v>
      </c>
      <c r="BC61" s="46">
        <v>4</v>
      </c>
      <c r="BD61" s="46">
        <v>2</v>
      </c>
      <c r="BE61" s="46">
        <v>2</v>
      </c>
      <c r="BF61" s="46">
        <v>6</v>
      </c>
      <c r="BG61" s="46">
        <v>6</v>
      </c>
      <c r="BH61" s="46">
        <v>12</v>
      </c>
    </row>
    <row r="62" spans="1:60" ht="32">
      <c r="A62" s="40" t="s">
        <v>65</v>
      </c>
      <c r="B62" s="46">
        <v>50</v>
      </c>
      <c r="C62" s="46">
        <v>32</v>
      </c>
      <c r="D62" s="46">
        <v>11</v>
      </c>
      <c r="E62" s="46">
        <v>11</v>
      </c>
      <c r="F62" s="46">
        <v>61</v>
      </c>
      <c r="G62" s="46">
        <v>43</v>
      </c>
      <c r="H62" s="46">
        <v>104</v>
      </c>
      <c r="N62" s="40" t="s">
        <v>65</v>
      </c>
      <c r="O62" s="46">
        <v>49</v>
      </c>
      <c r="P62" s="46">
        <v>31</v>
      </c>
      <c r="Q62" s="46">
        <v>11</v>
      </c>
      <c r="R62" s="46">
        <v>11</v>
      </c>
      <c r="S62" s="46">
        <v>60</v>
      </c>
      <c r="T62" s="46">
        <v>42</v>
      </c>
      <c r="U62" s="46">
        <v>102</v>
      </c>
      <c r="AA62" s="40" t="s">
        <v>65</v>
      </c>
      <c r="AB62" s="46">
        <v>40</v>
      </c>
      <c r="AC62" s="46">
        <v>26</v>
      </c>
      <c r="AD62" s="46">
        <v>9</v>
      </c>
      <c r="AE62" s="46">
        <v>9</v>
      </c>
      <c r="AF62" s="46">
        <v>49</v>
      </c>
      <c r="AG62" s="46">
        <v>35</v>
      </c>
      <c r="AH62" s="46">
        <v>84</v>
      </c>
      <c r="AN62" s="40" t="s">
        <v>65</v>
      </c>
      <c r="AO62" s="46">
        <v>41</v>
      </c>
      <c r="AP62" s="46">
        <v>27</v>
      </c>
      <c r="AQ62" s="46">
        <v>9</v>
      </c>
      <c r="AR62" s="46">
        <v>9</v>
      </c>
      <c r="AS62" s="46">
        <v>50</v>
      </c>
      <c r="AT62" s="46">
        <v>36</v>
      </c>
      <c r="AU62" s="46">
        <v>86</v>
      </c>
      <c r="BA62" s="40" t="s">
        <v>65</v>
      </c>
      <c r="BB62" s="46">
        <v>4</v>
      </c>
      <c r="BC62" s="46">
        <v>4</v>
      </c>
      <c r="BD62" s="46">
        <v>2</v>
      </c>
      <c r="BE62" s="46">
        <v>2</v>
      </c>
      <c r="BF62" s="46">
        <v>6</v>
      </c>
      <c r="BG62" s="46">
        <v>6</v>
      </c>
      <c r="BH62" s="46">
        <v>12</v>
      </c>
    </row>
    <row r="63" spans="1:60" ht="32">
      <c r="A63" s="40" t="s">
        <v>66</v>
      </c>
      <c r="B63" s="46">
        <v>98</v>
      </c>
      <c r="C63" s="46">
        <v>23</v>
      </c>
      <c r="D63" s="46">
        <v>18</v>
      </c>
      <c r="E63" s="46">
        <v>18</v>
      </c>
      <c r="F63" s="46">
        <v>116</v>
      </c>
      <c r="G63" s="46">
        <v>41</v>
      </c>
      <c r="H63" s="46">
        <v>157</v>
      </c>
      <c r="N63" s="40" t="s">
        <v>66</v>
      </c>
      <c r="O63" s="46">
        <v>97</v>
      </c>
      <c r="P63" s="46">
        <v>23</v>
      </c>
      <c r="Q63" s="46">
        <v>18</v>
      </c>
      <c r="R63" s="46">
        <v>18</v>
      </c>
      <c r="S63" s="46">
        <v>115</v>
      </c>
      <c r="T63" s="46">
        <v>41</v>
      </c>
      <c r="U63" s="46">
        <v>156</v>
      </c>
      <c r="AA63" s="40" t="s">
        <v>66</v>
      </c>
      <c r="AB63" s="46">
        <v>80</v>
      </c>
      <c r="AC63" s="46">
        <v>19</v>
      </c>
      <c r="AD63" s="46">
        <v>14</v>
      </c>
      <c r="AE63" s="46">
        <v>14</v>
      </c>
      <c r="AF63" s="46">
        <v>94</v>
      </c>
      <c r="AG63" s="46">
        <v>33</v>
      </c>
      <c r="AH63" s="46">
        <v>127</v>
      </c>
      <c r="AN63" s="40" t="s">
        <v>66</v>
      </c>
      <c r="AO63" s="46">
        <v>81</v>
      </c>
      <c r="AP63" s="46">
        <v>19</v>
      </c>
      <c r="AQ63" s="46">
        <v>15</v>
      </c>
      <c r="AR63" s="46">
        <v>15</v>
      </c>
      <c r="AS63" s="46">
        <v>96</v>
      </c>
      <c r="AT63" s="46">
        <v>34</v>
      </c>
      <c r="AU63" s="46">
        <v>130</v>
      </c>
      <c r="BA63" s="40" t="s">
        <v>66</v>
      </c>
      <c r="BB63" s="46">
        <v>12</v>
      </c>
      <c r="BC63" s="46">
        <v>2</v>
      </c>
      <c r="BD63" s="46">
        <v>2</v>
      </c>
      <c r="BE63" s="46">
        <v>2</v>
      </c>
      <c r="BF63" s="46">
        <v>14</v>
      </c>
      <c r="BG63" s="46">
        <v>4</v>
      </c>
      <c r="BH63" s="46">
        <v>18</v>
      </c>
    </row>
    <row r="64" spans="1:60" ht="32">
      <c r="A64" s="40" t="s">
        <v>67</v>
      </c>
      <c r="B64" s="46">
        <v>112</v>
      </c>
      <c r="C64" s="46">
        <v>18</v>
      </c>
      <c r="D64" s="46">
        <v>19</v>
      </c>
      <c r="E64" s="46">
        <v>19</v>
      </c>
      <c r="F64" s="46">
        <v>131</v>
      </c>
      <c r="G64" s="46">
        <v>37</v>
      </c>
      <c r="H64" s="46">
        <v>168</v>
      </c>
      <c r="N64" s="40" t="s">
        <v>67</v>
      </c>
      <c r="O64" s="46">
        <v>111</v>
      </c>
      <c r="P64" s="46">
        <v>18</v>
      </c>
      <c r="Q64" s="46">
        <v>19</v>
      </c>
      <c r="R64" s="46">
        <v>19</v>
      </c>
      <c r="S64" s="46">
        <v>130</v>
      </c>
      <c r="T64" s="46">
        <v>37</v>
      </c>
      <c r="U64" s="46">
        <v>167</v>
      </c>
      <c r="AA64" s="40" t="s">
        <v>67</v>
      </c>
      <c r="AB64" s="46">
        <v>91</v>
      </c>
      <c r="AC64" s="46">
        <v>15</v>
      </c>
      <c r="AD64" s="46">
        <v>15</v>
      </c>
      <c r="AE64" s="46">
        <v>15</v>
      </c>
      <c r="AF64" s="46">
        <v>106</v>
      </c>
      <c r="AG64" s="46">
        <v>30</v>
      </c>
      <c r="AH64" s="46">
        <v>136</v>
      </c>
      <c r="AN64" s="40" t="s">
        <v>67</v>
      </c>
      <c r="AO64" s="46">
        <v>93</v>
      </c>
      <c r="AP64" s="46">
        <v>15</v>
      </c>
      <c r="AQ64" s="46">
        <v>16</v>
      </c>
      <c r="AR64" s="46">
        <v>16</v>
      </c>
      <c r="AS64" s="46">
        <v>109</v>
      </c>
      <c r="AT64" s="46">
        <v>31</v>
      </c>
      <c r="AU64" s="46">
        <v>140</v>
      </c>
      <c r="BA64" s="40" t="s">
        <v>67</v>
      </c>
      <c r="BB64" s="46">
        <v>12</v>
      </c>
      <c r="BC64" s="46">
        <v>2</v>
      </c>
      <c r="BD64" s="46">
        <v>2</v>
      </c>
      <c r="BE64" s="46">
        <v>2</v>
      </c>
      <c r="BF64" s="46">
        <v>14</v>
      </c>
      <c r="BG64" s="46">
        <v>4</v>
      </c>
      <c r="BH64" s="46">
        <v>18</v>
      </c>
    </row>
    <row r="65" spans="1:60" ht="32">
      <c r="A65" s="40" t="s">
        <v>68</v>
      </c>
      <c r="B65" s="46">
        <v>83</v>
      </c>
      <c r="C65" s="46">
        <v>12</v>
      </c>
      <c r="D65" s="46">
        <v>13</v>
      </c>
      <c r="E65" s="46">
        <v>13</v>
      </c>
      <c r="F65" s="46">
        <v>96</v>
      </c>
      <c r="G65" s="46">
        <v>25</v>
      </c>
      <c r="H65" s="46">
        <v>121</v>
      </c>
      <c r="N65" s="40" t="s">
        <v>68</v>
      </c>
      <c r="O65" s="46">
        <v>82</v>
      </c>
      <c r="P65" s="46">
        <v>12</v>
      </c>
      <c r="Q65" s="46">
        <v>13</v>
      </c>
      <c r="R65" s="46">
        <v>13</v>
      </c>
      <c r="S65" s="46">
        <v>95</v>
      </c>
      <c r="T65" s="46">
        <v>25</v>
      </c>
      <c r="U65" s="46">
        <v>120</v>
      </c>
      <c r="AA65" s="40" t="s">
        <v>68</v>
      </c>
      <c r="AB65" s="46">
        <v>67</v>
      </c>
      <c r="AC65" s="46">
        <v>10</v>
      </c>
      <c r="AD65" s="46">
        <v>11</v>
      </c>
      <c r="AE65" s="46">
        <v>11</v>
      </c>
      <c r="AF65" s="46">
        <v>78</v>
      </c>
      <c r="AG65" s="46">
        <v>21</v>
      </c>
      <c r="AH65" s="46">
        <v>99</v>
      </c>
      <c r="AN65" s="40" t="s">
        <v>68</v>
      </c>
      <c r="AO65" s="46">
        <v>69</v>
      </c>
      <c r="AP65" s="46">
        <v>10</v>
      </c>
      <c r="AQ65" s="46">
        <v>11</v>
      </c>
      <c r="AR65" s="46">
        <v>11</v>
      </c>
      <c r="AS65" s="46">
        <v>80</v>
      </c>
      <c r="AT65" s="46">
        <v>21</v>
      </c>
      <c r="AU65" s="46">
        <v>101</v>
      </c>
      <c r="BA65" s="40" t="s">
        <v>68</v>
      </c>
      <c r="BB65" s="46">
        <v>10</v>
      </c>
      <c r="BC65" s="46">
        <v>2</v>
      </c>
      <c r="BD65" s="46">
        <v>2</v>
      </c>
      <c r="BE65" s="46">
        <v>2</v>
      </c>
      <c r="BF65" s="46">
        <v>12</v>
      </c>
      <c r="BG65" s="46">
        <v>4</v>
      </c>
      <c r="BH65" s="46">
        <v>16</v>
      </c>
    </row>
    <row r="66" spans="1:60">
      <c r="A66" s="40" t="s">
        <v>162</v>
      </c>
      <c r="B66" s="46">
        <v>41</v>
      </c>
      <c r="C66" s="46">
        <v>5</v>
      </c>
      <c r="D66" s="46">
        <v>6</v>
      </c>
      <c r="E66" s="46">
        <v>6</v>
      </c>
      <c r="F66" s="46">
        <v>47</v>
      </c>
      <c r="G66" s="46">
        <v>11</v>
      </c>
      <c r="H66" s="46">
        <v>58</v>
      </c>
      <c r="N66" s="40" t="s">
        <v>162</v>
      </c>
      <c r="O66" s="46">
        <v>41</v>
      </c>
      <c r="P66" s="46">
        <v>5</v>
      </c>
      <c r="Q66" s="46">
        <v>6</v>
      </c>
      <c r="R66" s="46">
        <v>6</v>
      </c>
      <c r="S66" s="46">
        <v>47</v>
      </c>
      <c r="T66" s="46">
        <v>11</v>
      </c>
      <c r="U66" s="46">
        <v>58</v>
      </c>
      <c r="AA66" s="40" t="s">
        <v>162</v>
      </c>
      <c r="AB66" s="46">
        <v>34</v>
      </c>
      <c r="AC66" s="46">
        <v>4</v>
      </c>
      <c r="AD66" s="46">
        <v>5</v>
      </c>
      <c r="AE66" s="46">
        <v>5</v>
      </c>
      <c r="AF66" s="46">
        <v>39</v>
      </c>
      <c r="AG66" s="46">
        <v>9</v>
      </c>
      <c r="AH66" s="46">
        <v>48</v>
      </c>
      <c r="AN66" s="40" t="s">
        <v>162</v>
      </c>
      <c r="AO66" s="46">
        <v>34</v>
      </c>
      <c r="AP66" s="46">
        <v>4</v>
      </c>
      <c r="AQ66" s="46">
        <v>5</v>
      </c>
      <c r="AR66" s="46">
        <v>5</v>
      </c>
      <c r="AS66" s="46">
        <v>39</v>
      </c>
      <c r="AT66" s="46">
        <v>9</v>
      </c>
      <c r="AU66" s="46">
        <v>48</v>
      </c>
      <c r="BA66" s="40" t="s">
        <v>162</v>
      </c>
      <c r="BB66" s="46">
        <v>4</v>
      </c>
      <c r="BC66" s="46">
        <v>0</v>
      </c>
      <c r="BD66" s="46">
        <v>2</v>
      </c>
      <c r="BE66" s="46">
        <v>2</v>
      </c>
      <c r="BF66" s="46">
        <v>6</v>
      </c>
      <c r="BG66" s="46">
        <v>2</v>
      </c>
      <c r="BH66" s="46">
        <v>8</v>
      </c>
    </row>
    <row r="67" spans="1:60" ht="17.5" thickBot="1">
      <c r="A67" s="42" t="s">
        <v>160</v>
      </c>
      <c r="B67" s="48">
        <v>629</v>
      </c>
      <c r="C67" s="48">
        <v>629</v>
      </c>
      <c r="D67" s="48">
        <v>178</v>
      </c>
      <c r="E67" s="48">
        <v>178</v>
      </c>
      <c r="F67" s="48">
        <v>807</v>
      </c>
      <c r="G67" s="48">
        <v>807</v>
      </c>
      <c r="H67" s="51">
        <v>1614</v>
      </c>
      <c r="N67" s="42" t="s">
        <v>160</v>
      </c>
      <c r="O67" s="48">
        <v>624</v>
      </c>
      <c r="P67" s="48">
        <v>624</v>
      </c>
      <c r="Q67" s="48">
        <v>177</v>
      </c>
      <c r="R67" s="48">
        <v>177</v>
      </c>
      <c r="S67" s="48">
        <v>801</v>
      </c>
      <c r="T67" s="48">
        <v>801</v>
      </c>
      <c r="U67" s="51">
        <v>1602</v>
      </c>
      <c r="AA67" s="42" t="s">
        <v>160</v>
      </c>
      <c r="AB67" s="48">
        <v>512</v>
      </c>
      <c r="AC67" s="48">
        <v>512</v>
      </c>
      <c r="AD67" s="48">
        <v>144</v>
      </c>
      <c r="AE67" s="48">
        <v>144</v>
      </c>
      <c r="AF67" s="48">
        <v>656</v>
      </c>
      <c r="AG67" s="48">
        <v>656</v>
      </c>
      <c r="AH67" s="51">
        <v>1312</v>
      </c>
      <c r="AN67" s="42" t="s">
        <v>160</v>
      </c>
      <c r="AO67" s="48">
        <v>521</v>
      </c>
      <c r="AP67" s="48">
        <v>521</v>
      </c>
      <c r="AQ67" s="48">
        <v>149</v>
      </c>
      <c r="AR67" s="48">
        <v>149</v>
      </c>
      <c r="AS67" s="48">
        <v>670</v>
      </c>
      <c r="AT67" s="48">
        <v>670</v>
      </c>
      <c r="AU67" s="51">
        <v>1340</v>
      </c>
      <c r="BA67" s="42" t="s">
        <v>160</v>
      </c>
      <c r="BB67" s="48">
        <v>64</v>
      </c>
      <c r="BC67" s="48">
        <v>64</v>
      </c>
      <c r="BD67" s="48">
        <v>18</v>
      </c>
      <c r="BE67" s="48">
        <v>18</v>
      </c>
      <c r="BF67" s="48">
        <v>82</v>
      </c>
      <c r="BG67" s="48">
        <v>82</v>
      </c>
      <c r="BH67" s="48">
        <v>164</v>
      </c>
    </row>
    <row r="68" spans="1:60" ht="17.5" thickTop="1"/>
    <row r="69" spans="1:60">
      <c r="B69">
        <f>B45/B67</f>
        <v>1.5866454689984102</v>
      </c>
      <c r="C69">
        <f>C45/C67</f>
        <v>1.5866454689984102</v>
      </c>
      <c r="D69">
        <f>D45/D67</f>
        <v>1.247191011235955</v>
      </c>
      <c r="E69">
        <f>E45/E67</f>
        <v>1.247191011235955</v>
      </c>
      <c r="O69">
        <f>O45/O67</f>
        <v>1.5897435897435896</v>
      </c>
      <c r="P69">
        <f>P45/P67</f>
        <v>1.5897435897435896</v>
      </c>
      <c r="Q69">
        <f>Q45/Q67</f>
        <v>1.2485875706214689</v>
      </c>
      <c r="R69">
        <f>R45/R67</f>
        <v>1.2485875706214689</v>
      </c>
      <c r="AB69">
        <f t="shared" ref="AB69:AE69" si="0">AB45/AB67</f>
        <v>1.587890625</v>
      </c>
      <c r="AC69">
        <f t="shared" si="0"/>
        <v>1.587890625</v>
      </c>
      <c r="AD69">
        <f t="shared" si="0"/>
        <v>1.2569444444444444</v>
      </c>
      <c r="AE69">
        <f t="shared" si="0"/>
        <v>1.2569444444444444</v>
      </c>
      <c r="AO69">
        <f t="shared" ref="AO69:AR69" si="1">AO45/AO67</f>
        <v>1.5911708253358925</v>
      </c>
      <c r="AP69">
        <f t="shared" si="1"/>
        <v>1.5911708253358925</v>
      </c>
      <c r="AQ69">
        <f t="shared" si="1"/>
        <v>1.2416107382550337</v>
      </c>
      <c r="AR69">
        <f t="shared" si="1"/>
        <v>1.2416107382550337</v>
      </c>
      <c r="BB69">
        <f t="shared" ref="BB69:BE69" si="2">BB45/BB67</f>
        <v>1.625</v>
      </c>
      <c r="BC69">
        <f t="shared" si="2"/>
        <v>1.625</v>
      </c>
      <c r="BD69">
        <f t="shared" si="2"/>
        <v>1.2222222222222223</v>
      </c>
      <c r="BE69">
        <f t="shared" si="2"/>
        <v>1.2222222222222223</v>
      </c>
    </row>
  </sheetData>
  <mergeCells count="80">
    <mergeCell ref="A4:A7"/>
    <mergeCell ref="B4:I4"/>
    <mergeCell ref="B5:G5"/>
    <mergeCell ref="H5:I6"/>
    <mergeCell ref="B6:C6"/>
    <mergeCell ref="D6:E6"/>
    <mergeCell ref="F6:G6"/>
    <mergeCell ref="L4:L7"/>
    <mergeCell ref="M4:T4"/>
    <mergeCell ref="M5:R5"/>
    <mergeCell ref="S5:T6"/>
    <mergeCell ref="M6:N6"/>
    <mergeCell ref="O6:P6"/>
    <mergeCell ref="Q6:R6"/>
    <mergeCell ref="AB12:AB13"/>
    <mergeCell ref="A26:A28"/>
    <mergeCell ref="B26:L26"/>
    <mergeCell ref="B27:C27"/>
    <mergeCell ref="D27:E27"/>
    <mergeCell ref="F27:G27"/>
    <mergeCell ref="H27:I27"/>
    <mergeCell ref="J27:L27"/>
    <mergeCell ref="AB4:AC5"/>
    <mergeCell ref="AD4:AE4"/>
    <mergeCell ref="AB6:AB7"/>
    <mergeCell ref="AB8:AB9"/>
    <mergeCell ref="AB10:AB11"/>
    <mergeCell ref="A48:A50"/>
    <mergeCell ref="B48:H48"/>
    <mergeCell ref="B49:C49"/>
    <mergeCell ref="D49:E49"/>
    <mergeCell ref="F49:H49"/>
    <mergeCell ref="N48:N50"/>
    <mergeCell ref="AB14:AB15"/>
    <mergeCell ref="AB16:AB17"/>
    <mergeCell ref="AB18:AB19"/>
    <mergeCell ref="AB20:AB21"/>
    <mergeCell ref="N26:N28"/>
    <mergeCell ref="O26:Y26"/>
    <mergeCell ref="O27:P27"/>
    <mergeCell ref="Q27:R27"/>
    <mergeCell ref="S27:T27"/>
    <mergeCell ref="U27:V27"/>
    <mergeCell ref="W27:Y27"/>
    <mergeCell ref="AA26:AA28"/>
    <mergeCell ref="AB26:AL26"/>
    <mergeCell ref="AB27:AC27"/>
    <mergeCell ref="AD27:AE27"/>
    <mergeCell ref="AF27:AG27"/>
    <mergeCell ref="AH27:AI27"/>
    <mergeCell ref="AJ27:AL27"/>
    <mergeCell ref="AN26:AN28"/>
    <mergeCell ref="AO26:AY26"/>
    <mergeCell ref="AO27:AP27"/>
    <mergeCell ref="AQ27:AR27"/>
    <mergeCell ref="AS27:AT27"/>
    <mergeCell ref="AU27:AV27"/>
    <mergeCell ref="AW27:AY27"/>
    <mergeCell ref="BA26:BA28"/>
    <mergeCell ref="BB26:BL26"/>
    <mergeCell ref="BB27:BC27"/>
    <mergeCell ref="BD27:BE27"/>
    <mergeCell ref="BF27:BG27"/>
    <mergeCell ref="BH27:BI27"/>
    <mergeCell ref="BJ27:BL27"/>
    <mergeCell ref="BB48:BH48"/>
    <mergeCell ref="BB49:BC49"/>
    <mergeCell ref="BD49:BE49"/>
    <mergeCell ref="BF49:BH49"/>
    <mergeCell ref="AA48:AA50"/>
    <mergeCell ref="AB48:AH48"/>
    <mergeCell ref="AB49:AC49"/>
    <mergeCell ref="AD49:AE49"/>
    <mergeCell ref="AF49:AH49"/>
    <mergeCell ref="AN48:AN50"/>
    <mergeCell ref="AO48:AU48"/>
    <mergeCell ref="AO49:AP49"/>
    <mergeCell ref="AQ49:AR49"/>
    <mergeCell ref="AS49:AU49"/>
    <mergeCell ref="BA48:BA50"/>
  </mergeCells>
  <phoneticPr fontId="2" type="noConversion"/>
  <pageMargins left="0.7" right="0.7" top="0.75" bottom="0.75" header="0.3" footer="0.3"/>
</worksheet>
</file>

<file path=xl/worksheets/sheet8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N108"/>
  <sheetViews>
    <sheetView zoomScale="70" zoomScaleNormal="70" workbookViewId="0">
      <selection activeCell="K22" sqref="K22"/>
    </sheetView>
  </sheetViews>
  <sheetFormatPr defaultRowHeight="17"/>
  <cols>
    <col min="11" max="11" width="41.5" bestFit="1" customWidth="1"/>
    <col min="15" max="15" width="11" bestFit="1" customWidth="1"/>
    <col min="16" max="16" width="10" bestFit="1" customWidth="1"/>
    <col min="17" max="17" width="9.08203125" bestFit="1" customWidth="1"/>
    <col min="22" max="22" width="11.5" bestFit="1" customWidth="1"/>
    <col min="25" max="25" width="20.58203125" bestFit="1" customWidth="1"/>
    <col min="31" max="31" width="11.75" bestFit="1" customWidth="1"/>
    <col min="32" max="32" width="11" bestFit="1" customWidth="1"/>
  </cols>
  <sheetData>
    <row r="1" spans="1:40">
      <c r="A1" t="s">
        <v>151</v>
      </c>
    </row>
    <row r="2" spans="1:40">
      <c r="A2" s="32" t="s">
        <v>149</v>
      </c>
      <c r="B2" s="32" t="s">
        <v>150</v>
      </c>
    </row>
    <row r="4" spans="1:40">
      <c r="A4" t="s">
        <v>0</v>
      </c>
      <c r="K4" t="s">
        <v>276</v>
      </c>
      <c r="M4" t="s">
        <v>257</v>
      </c>
      <c r="S4" t="s">
        <v>253</v>
      </c>
    </row>
    <row r="5" spans="1:40" ht="23.5" thickBot="1">
      <c r="A5" t="s">
        <v>28</v>
      </c>
      <c r="K5" s="102" t="s">
        <v>256</v>
      </c>
      <c r="O5" t="s">
        <v>260</v>
      </c>
      <c r="S5" s="99" t="s">
        <v>252</v>
      </c>
      <c r="Y5" t="s">
        <v>254</v>
      </c>
    </row>
    <row r="6" spans="1:40" ht="17.25" customHeight="1" thickTop="1" thickBot="1">
      <c r="A6" s="576" t="s">
        <v>27</v>
      </c>
      <c r="B6" s="577"/>
      <c r="C6" s="1" t="s">
        <v>2</v>
      </c>
      <c r="D6" s="619" t="s">
        <v>5</v>
      </c>
      <c r="E6" s="577"/>
      <c r="F6" s="619" t="s">
        <v>7</v>
      </c>
      <c r="G6" s="620"/>
      <c r="H6" s="621"/>
      <c r="K6" s="92" t="s">
        <v>39</v>
      </c>
      <c r="L6" s="77" t="s">
        <v>156</v>
      </c>
      <c r="M6" s="78" t="s">
        <v>157</v>
      </c>
      <c r="N6" s="96" t="s">
        <v>258</v>
      </c>
      <c r="O6" s="96" t="s">
        <v>259</v>
      </c>
      <c r="S6" s="622" t="s">
        <v>251</v>
      </c>
      <c r="T6" s="623"/>
      <c r="U6" s="77" t="s">
        <v>156</v>
      </c>
      <c r="V6" s="77" t="s">
        <v>174</v>
      </c>
      <c r="W6" s="77" t="s">
        <v>158</v>
      </c>
      <c r="X6" s="77" t="s">
        <v>246</v>
      </c>
      <c r="Y6" s="78" t="s">
        <v>160</v>
      </c>
      <c r="AF6" s="25" t="s">
        <v>344</v>
      </c>
      <c r="AG6" t="s">
        <v>345</v>
      </c>
      <c r="AL6" s="76" t="s">
        <v>346</v>
      </c>
      <c r="AN6" t="s">
        <v>245</v>
      </c>
    </row>
    <row r="7" spans="1:40" ht="18" thickTop="1" thickBot="1">
      <c r="A7" s="613"/>
      <c r="B7" s="614"/>
      <c r="C7" s="2" t="s">
        <v>3</v>
      </c>
      <c r="D7" s="624" t="s">
        <v>6</v>
      </c>
      <c r="E7" s="625"/>
      <c r="F7" s="624" t="s">
        <v>8</v>
      </c>
      <c r="G7" s="626"/>
      <c r="H7" s="627"/>
      <c r="K7" s="93" t="s">
        <v>255</v>
      </c>
      <c r="L7" s="94">
        <v>1.41</v>
      </c>
      <c r="M7" s="95">
        <v>1.5</v>
      </c>
      <c r="N7">
        <v>11.58</v>
      </c>
      <c r="O7">
        <v>28.79</v>
      </c>
      <c r="S7" s="628" t="s">
        <v>247</v>
      </c>
      <c r="T7" s="79" t="s">
        <v>44</v>
      </c>
      <c r="U7" s="80">
        <v>0.44900000000000001</v>
      </c>
      <c r="V7" s="81">
        <v>6.4000000000000001E-2</v>
      </c>
      <c r="W7" s="81">
        <v>0.41099999999999998</v>
      </c>
      <c r="X7" s="81">
        <v>7.5999999999999998E-2</v>
      </c>
      <c r="Y7" s="82">
        <v>1</v>
      </c>
      <c r="AF7" s="576" t="s">
        <v>347</v>
      </c>
      <c r="AG7" s="577"/>
      <c r="AH7" s="1" t="s">
        <v>340</v>
      </c>
      <c r="AI7" s="615" t="s">
        <v>348</v>
      </c>
      <c r="AJ7" s="616"/>
      <c r="AK7" s="616"/>
      <c r="AL7" s="616"/>
      <c r="AM7" s="616"/>
      <c r="AN7" s="617"/>
    </row>
    <row r="8" spans="1:40" ht="18" thickTop="1" thickBot="1">
      <c r="A8" s="578"/>
      <c r="B8" s="579"/>
      <c r="C8" s="3" t="s">
        <v>4</v>
      </c>
      <c r="D8" s="4" t="s">
        <v>9</v>
      </c>
      <c r="E8" s="4" t="s">
        <v>10</v>
      </c>
      <c r="F8" s="4" t="s">
        <v>9</v>
      </c>
      <c r="G8" s="4" t="s">
        <v>10</v>
      </c>
      <c r="H8" s="5" t="s">
        <v>11</v>
      </c>
      <c r="S8" s="629"/>
      <c r="T8" s="15" t="s">
        <v>45</v>
      </c>
      <c r="U8" s="83">
        <v>8.2000000000000003E-2</v>
      </c>
      <c r="V8" s="84">
        <v>2.1999999999999999E-2</v>
      </c>
      <c r="W8" s="84">
        <v>0.45500000000000002</v>
      </c>
      <c r="X8" s="84">
        <v>0.441</v>
      </c>
      <c r="Y8" s="85">
        <v>1</v>
      </c>
      <c r="AF8" s="613"/>
      <c r="AG8" s="614"/>
      <c r="AH8" s="2" t="s">
        <v>3</v>
      </c>
      <c r="AI8" s="608" t="s">
        <v>341</v>
      </c>
      <c r="AJ8" s="609"/>
      <c r="AK8" s="618"/>
      <c r="AL8" s="608" t="s">
        <v>342</v>
      </c>
      <c r="AM8" s="609"/>
      <c r="AN8" s="610"/>
    </row>
    <row r="9" spans="1:40" ht="18" thickTop="1" thickBot="1">
      <c r="A9" s="611" t="s">
        <v>12</v>
      </c>
      <c r="B9" s="612"/>
      <c r="C9" s="6">
        <v>53</v>
      </c>
      <c r="D9" s="6">
        <v>2.46</v>
      </c>
      <c r="E9" s="6">
        <v>1</v>
      </c>
      <c r="F9" s="6">
        <v>131</v>
      </c>
      <c r="G9" s="6">
        <v>53</v>
      </c>
      <c r="H9" s="7">
        <v>184</v>
      </c>
      <c r="S9" s="629"/>
      <c r="T9" s="15" t="s">
        <v>46</v>
      </c>
      <c r="U9" s="83">
        <v>0.313</v>
      </c>
      <c r="V9" s="84">
        <v>9.1999999999999998E-2</v>
      </c>
      <c r="W9" s="84">
        <v>0.39100000000000001</v>
      </c>
      <c r="X9" s="84">
        <v>0.20399999999999999</v>
      </c>
      <c r="Y9" s="85">
        <v>1</v>
      </c>
      <c r="AF9" s="578"/>
      <c r="AG9" s="579"/>
      <c r="AH9" s="3" t="s">
        <v>343</v>
      </c>
      <c r="AI9" s="4" t="s">
        <v>9</v>
      </c>
      <c r="AJ9" s="4" t="s">
        <v>10</v>
      </c>
      <c r="AK9" s="4" t="s">
        <v>11</v>
      </c>
      <c r="AL9" s="4" t="s">
        <v>9</v>
      </c>
      <c r="AM9" s="4" t="s">
        <v>10</v>
      </c>
      <c r="AN9" s="5" t="s">
        <v>11</v>
      </c>
    </row>
    <row r="10" spans="1:40" ht="16.5" customHeight="1" thickTop="1">
      <c r="A10" s="598" t="s">
        <v>13</v>
      </c>
      <c r="B10" s="599"/>
      <c r="C10" s="8">
        <v>15360</v>
      </c>
      <c r="D10" s="9">
        <v>22.94</v>
      </c>
      <c r="E10" s="9">
        <v>193.68</v>
      </c>
      <c r="F10" s="9">
        <v>106</v>
      </c>
      <c r="G10" s="9">
        <v>892</v>
      </c>
      <c r="H10" s="10">
        <v>998</v>
      </c>
      <c r="S10" s="605"/>
      <c r="T10" s="15" t="s">
        <v>166</v>
      </c>
      <c r="U10" s="83">
        <v>0.34300000000000003</v>
      </c>
      <c r="V10" s="84">
        <v>8.5000000000000006E-2</v>
      </c>
      <c r="W10" s="84">
        <v>0.34599999999999997</v>
      </c>
      <c r="X10" s="84">
        <v>0.22600000000000001</v>
      </c>
      <c r="Y10" s="85">
        <v>1</v>
      </c>
      <c r="AF10" s="611" t="s">
        <v>349</v>
      </c>
      <c r="AG10" s="612"/>
      <c r="AH10" s="6">
        <v>53</v>
      </c>
      <c r="AI10" s="6">
        <v>340</v>
      </c>
      <c r="AJ10" s="6">
        <v>106</v>
      </c>
      <c r="AK10" s="6">
        <v>446</v>
      </c>
      <c r="AL10" s="6">
        <v>340</v>
      </c>
      <c r="AM10" s="6">
        <v>106</v>
      </c>
      <c r="AN10" s="7">
        <v>446</v>
      </c>
    </row>
    <row r="11" spans="1:40">
      <c r="A11" s="598" t="s">
        <v>14</v>
      </c>
      <c r="B11" s="599"/>
      <c r="C11" s="8">
        <v>88536</v>
      </c>
      <c r="D11" s="9">
        <v>29.86</v>
      </c>
      <c r="E11" s="9">
        <v>215.66</v>
      </c>
      <c r="F11" s="9">
        <v>793</v>
      </c>
      <c r="G11" s="8">
        <v>5728</v>
      </c>
      <c r="H11" s="11">
        <v>6521</v>
      </c>
      <c r="S11" s="604" t="s">
        <v>13</v>
      </c>
      <c r="T11" s="15" t="s">
        <v>9</v>
      </c>
      <c r="U11" s="83">
        <v>0.26200000000000001</v>
      </c>
      <c r="V11" s="84">
        <v>7.4999999999999997E-2</v>
      </c>
      <c r="W11" s="84">
        <v>0.59799999999999998</v>
      </c>
      <c r="X11" s="84">
        <v>6.5000000000000002E-2</v>
      </c>
      <c r="Y11" s="85">
        <v>1</v>
      </c>
      <c r="AF11" s="598" t="s">
        <v>136</v>
      </c>
      <c r="AG11" s="599"/>
      <c r="AH11" s="8">
        <v>15360</v>
      </c>
      <c r="AI11" s="9">
        <v>276</v>
      </c>
      <c r="AJ11" s="8">
        <v>1792</v>
      </c>
      <c r="AK11" s="8">
        <v>2068</v>
      </c>
      <c r="AL11" s="9">
        <v>270</v>
      </c>
      <c r="AM11" s="8">
        <v>1792</v>
      </c>
      <c r="AN11" s="11">
        <v>2062</v>
      </c>
    </row>
    <row r="12" spans="1:40">
      <c r="A12" s="598" t="s">
        <v>15</v>
      </c>
      <c r="B12" s="599"/>
      <c r="C12" s="8">
        <v>835928</v>
      </c>
      <c r="D12" s="9">
        <v>26.78</v>
      </c>
      <c r="E12" s="9">
        <v>15.63</v>
      </c>
      <c r="F12" s="8">
        <v>22386</v>
      </c>
      <c r="G12" s="8">
        <v>13066</v>
      </c>
      <c r="H12" s="11">
        <v>35452</v>
      </c>
      <c r="S12" s="605"/>
      <c r="T12" s="15" t="s">
        <v>10</v>
      </c>
      <c r="U12" s="83">
        <v>0.221</v>
      </c>
      <c r="V12" s="84">
        <v>7.6999999999999999E-2</v>
      </c>
      <c r="W12" s="84">
        <v>0.63300000000000001</v>
      </c>
      <c r="X12" s="84">
        <v>6.9000000000000006E-2</v>
      </c>
      <c r="Y12" s="85">
        <v>1</v>
      </c>
      <c r="AF12" s="598" t="s">
        <v>137</v>
      </c>
      <c r="AG12" s="599"/>
      <c r="AH12" s="8">
        <v>88536</v>
      </c>
      <c r="AI12" s="8">
        <v>2056</v>
      </c>
      <c r="AJ12" s="8">
        <v>11502</v>
      </c>
      <c r="AK12" s="8">
        <v>13558</v>
      </c>
      <c r="AL12" s="8">
        <v>2022</v>
      </c>
      <c r="AM12" s="8">
        <v>11498</v>
      </c>
      <c r="AN12" s="11">
        <v>13520</v>
      </c>
    </row>
    <row r="13" spans="1:40">
      <c r="A13" s="598" t="s">
        <v>16</v>
      </c>
      <c r="B13" s="599"/>
      <c r="C13" s="8">
        <v>114912</v>
      </c>
      <c r="D13" s="9">
        <v>21.11</v>
      </c>
      <c r="E13" s="9">
        <v>5.01</v>
      </c>
      <c r="F13" s="8">
        <v>2426</v>
      </c>
      <c r="G13" s="9">
        <v>576</v>
      </c>
      <c r="H13" s="11">
        <v>3002</v>
      </c>
      <c r="S13" s="604" t="s">
        <v>248</v>
      </c>
      <c r="T13" s="15" t="s">
        <v>9</v>
      </c>
      <c r="U13" s="83">
        <v>0.38500000000000001</v>
      </c>
      <c r="V13" s="84">
        <v>5.0999999999999997E-2</v>
      </c>
      <c r="W13" s="84">
        <v>0.34799999999999998</v>
      </c>
      <c r="X13" s="84">
        <v>0.216</v>
      </c>
      <c r="Y13" s="85">
        <v>1</v>
      </c>
      <c r="AF13" s="598" t="s">
        <v>350</v>
      </c>
      <c r="AG13" s="599"/>
      <c r="AH13" s="8">
        <v>835928</v>
      </c>
      <c r="AI13" s="8">
        <v>58014</v>
      </c>
      <c r="AJ13" s="8">
        <v>26236</v>
      </c>
      <c r="AK13" s="8">
        <v>84250</v>
      </c>
      <c r="AL13" s="8">
        <v>57064</v>
      </c>
      <c r="AM13" s="8">
        <v>26226</v>
      </c>
      <c r="AN13" s="11">
        <v>83290</v>
      </c>
    </row>
    <row r="14" spans="1:40">
      <c r="A14" s="598" t="s">
        <v>17</v>
      </c>
      <c r="B14" s="599"/>
      <c r="C14" s="8">
        <v>265206</v>
      </c>
      <c r="D14" s="9">
        <v>7.81</v>
      </c>
      <c r="E14" s="9">
        <v>2.59</v>
      </c>
      <c r="F14" s="8">
        <v>2071</v>
      </c>
      <c r="G14" s="9">
        <v>687</v>
      </c>
      <c r="H14" s="11">
        <v>2758</v>
      </c>
      <c r="S14" s="605"/>
      <c r="T14" s="15" t="s">
        <v>10</v>
      </c>
      <c r="U14" s="83">
        <v>0.39900000000000002</v>
      </c>
      <c r="V14" s="84">
        <v>6.2E-2</v>
      </c>
      <c r="W14" s="84">
        <v>0.245</v>
      </c>
      <c r="X14" s="84">
        <v>0.29399999999999998</v>
      </c>
      <c r="Y14" s="85">
        <v>1</v>
      </c>
      <c r="AF14" s="598" t="s">
        <v>351</v>
      </c>
      <c r="AG14" s="599"/>
      <c r="AH14" s="8">
        <v>114912</v>
      </c>
      <c r="AI14" s="8">
        <v>6288</v>
      </c>
      <c r="AJ14" s="8">
        <v>1156</v>
      </c>
      <c r="AK14" s="8">
        <v>7444</v>
      </c>
      <c r="AL14" s="8">
        <v>6184</v>
      </c>
      <c r="AM14" s="8">
        <v>1156</v>
      </c>
      <c r="AN14" s="11">
        <v>7340</v>
      </c>
    </row>
    <row r="15" spans="1:40" ht="16.5" customHeight="1">
      <c r="A15" s="12" t="s">
        <v>18</v>
      </c>
      <c r="B15" s="15" t="s">
        <v>21</v>
      </c>
      <c r="C15" s="8">
        <v>195776</v>
      </c>
      <c r="D15" s="9" t="s">
        <v>22</v>
      </c>
      <c r="E15" s="9" t="s">
        <v>22</v>
      </c>
      <c r="F15" s="8">
        <v>2659</v>
      </c>
      <c r="G15" s="8">
        <v>9332</v>
      </c>
      <c r="H15" s="11">
        <v>11991</v>
      </c>
      <c r="S15" s="604" t="s">
        <v>249</v>
      </c>
      <c r="T15" s="15" t="s">
        <v>9</v>
      </c>
      <c r="U15" s="83">
        <v>0.30399999999999999</v>
      </c>
      <c r="V15" s="84">
        <v>7.1999999999999995E-2</v>
      </c>
      <c r="W15" s="84">
        <v>0.41399999999999998</v>
      </c>
      <c r="X15" s="84">
        <v>0.21</v>
      </c>
      <c r="Y15" s="85">
        <v>1</v>
      </c>
      <c r="AF15" s="598" t="s">
        <v>352</v>
      </c>
      <c r="AG15" s="599"/>
      <c r="AH15" s="8">
        <v>265206</v>
      </c>
      <c r="AI15" s="8">
        <v>5368</v>
      </c>
      <c r="AJ15" s="8">
        <v>1380</v>
      </c>
      <c r="AK15" s="8">
        <v>6748</v>
      </c>
      <c r="AL15" s="8">
        <v>5280</v>
      </c>
      <c r="AM15" s="8">
        <v>1380</v>
      </c>
      <c r="AN15" s="11">
        <v>6660</v>
      </c>
    </row>
    <row r="16" spans="1:40">
      <c r="A16" s="13" t="s">
        <v>19</v>
      </c>
      <c r="B16" s="15" t="s">
        <v>14</v>
      </c>
      <c r="C16" s="8">
        <v>68522</v>
      </c>
      <c r="D16" s="9">
        <v>29.86</v>
      </c>
      <c r="E16" s="9">
        <v>215.66</v>
      </c>
      <c r="F16" s="9">
        <v>614</v>
      </c>
      <c r="G16" s="8">
        <v>4433</v>
      </c>
      <c r="H16" s="11">
        <v>5047</v>
      </c>
      <c r="S16" s="605"/>
      <c r="T16" s="15" t="s">
        <v>10</v>
      </c>
      <c r="U16" s="83">
        <v>0.309</v>
      </c>
      <c r="V16" s="84">
        <v>7.5999999999999998E-2</v>
      </c>
      <c r="W16" s="84">
        <v>0.371</v>
      </c>
      <c r="X16" s="84">
        <v>0.24399999999999999</v>
      </c>
      <c r="Y16" s="85">
        <v>1</v>
      </c>
      <c r="AF16" s="91" t="s">
        <v>142</v>
      </c>
      <c r="AG16" s="15" t="s">
        <v>21</v>
      </c>
      <c r="AH16" s="8">
        <v>195776</v>
      </c>
      <c r="AI16" s="8">
        <v>6892</v>
      </c>
      <c r="AJ16" s="8">
        <v>18740</v>
      </c>
      <c r="AK16" s="8">
        <v>25632</v>
      </c>
      <c r="AL16" s="8">
        <v>6780</v>
      </c>
      <c r="AM16" s="8">
        <v>18732</v>
      </c>
      <c r="AN16" s="11">
        <v>25512</v>
      </c>
    </row>
    <row r="17" spans="1:40" ht="25">
      <c r="A17" s="13" t="s">
        <v>20</v>
      </c>
      <c r="B17" s="15" t="s">
        <v>13</v>
      </c>
      <c r="C17" s="8">
        <v>68522</v>
      </c>
      <c r="D17" s="9">
        <v>22.94</v>
      </c>
      <c r="E17" s="9">
        <v>193.68</v>
      </c>
      <c r="F17" s="9">
        <v>472</v>
      </c>
      <c r="G17" s="8">
        <v>3981</v>
      </c>
      <c r="H17" s="11">
        <v>4453</v>
      </c>
      <c r="S17" s="604" t="s">
        <v>250</v>
      </c>
      <c r="T17" s="15" t="s">
        <v>9</v>
      </c>
      <c r="U17" s="83">
        <v>0.32100000000000001</v>
      </c>
      <c r="V17" s="84">
        <v>7.1999999999999995E-2</v>
      </c>
      <c r="W17" s="84">
        <v>0.42099999999999999</v>
      </c>
      <c r="X17" s="84">
        <v>0.186</v>
      </c>
      <c r="Y17" s="85">
        <v>1</v>
      </c>
      <c r="AF17" s="90" t="s">
        <v>19</v>
      </c>
      <c r="AG17" s="15" t="s">
        <v>14</v>
      </c>
      <c r="AH17" s="8">
        <v>68522</v>
      </c>
      <c r="AI17" s="8">
        <v>1592</v>
      </c>
      <c r="AJ17" s="8">
        <v>8902</v>
      </c>
      <c r="AK17" s="8">
        <v>10494</v>
      </c>
      <c r="AL17" s="8">
        <v>1566</v>
      </c>
      <c r="AM17" s="8">
        <v>8898</v>
      </c>
      <c r="AN17" s="11">
        <v>10464</v>
      </c>
    </row>
    <row r="18" spans="1:40" ht="25.5" thickBot="1">
      <c r="A18" s="14"/>
      <c r="B18" s="15" t="s">
        <v>23</v>
      </c>
      <c r="C18" s="8">
        <v>58733</v>
      </c>
      <c r="D18" s="9">
        <v>26.78</v>
      </c>
      <c r="E18" s="9">
        <v>15.63</v>
      </c>
      <c r="F18" s="8">
        <v>1573</v>
      </c>
      <c r="G18" s="9">
        <v>918</v>
      </c>
      <c r="H18" s="11">
        <v>2491</v>
      </c>
      <c r="S18" s="630"/>
      <c r="T18" s="86" t="s">
        <v>10</v>
      </c>
      <c r="U18" s="87">
        <v>0.34399999999999997</v>
      </c>
      <c r="V18" s="88">
        <v>9.5000000000000001E-2</v>
      </c>
      <c r="W18" s="88">
        <v>0.38200000000000001</v>
      </c>
      <c r="X18" s="88">
        <v>0.17899999999999999</v>
      </c>
      <c r="Y18" s="89">
        <v>1</v>
      </c>
      <c r="AF18" s="90" t="s">
        <v>20</v>
      </c>
      <c r="AG18" s="15" t="s">
        <v>13</v>
      </c>
      <c r="AH18" s="8">
        <v>68522</v>
      </c>
      <c r="AI18" s="8">
        <v>1224</v>
      </c>
      <c r="AJ18" s="8">
        <v>7994</v>
      </c>
      <c r="AK18" s="8">
        <v>9218</v>
      </c>
      <c r="AL18" s="8">
        <v>1204</v>
      </c>
      <c r="AM18" s="8">
        <v>7990</v>
      </c>
      <c r="AN18" s="11">
        <v>9194</v>
      </c>
    </row>
    <row r="19" spans="1:40" ht="17.5" thickTop="1">
      <c r="A19" s="598" t="s">
        <v>24</v>
      </c>
      <c r="B19" s="599"/>
      <c r="C19" s="8">
        <v>76980</v>
      </c>
      <c r="D19" s="9">
        <v>10.94</v>
      </c>
      <c r="E19" s="9">
        <v>37.06</v>
      </c>
      <c r="F19" s="9">
        <v>842</v>
      </c>
      <c r="G19" s="8">
        <v>2853</v>
      </c>
      <c r="H19" s="11">
        <v>3695</v>
      </c>
      <c r="AF19" s="14"/>
      <c r="AG19" s="15" t="s">
        <v>23</v>
      </c>
      <c r="AH19" s="8">
        <v>58733</v>
      </c>
      <c r="AI19" s="8">
        <v>4076</v>
      </c>
      <c r="AJ19" s="8">
        <v>1844</v>
      </c>
      <c r="AK19" s="8">
        <v>5920</v>
      </c>
      <c r="AL19" s="8">
        <v>4010</v>
      </c>
      <c r="AM19" s="8">
        <v>1844</v>
      </c>
      <c r="AN19" s="11">
        <v>5854</v>
      </c>
    </row>
    <row r="20" spans="1:40">
      <c r="A20" s="598" t="s">
        <v>25</v>
      </c>
      <c r="B20" s="599"/>
      <c r="C20" s="8">
        <v>11571</v>
      </c>
      <c r="D20" s="9">
        <v>22.94</v>
      </c>
      <c r="E20" s="9">
        <v>193.68</v>
      </c>
      <c r="F20" s="9">
        <v>265</v>
      </c>
      <c r="G20" s="8">
        <v>2241</v>
      </c>
      <c r="H20" s="11">
        <v>2506</v>
      </c>
      <c r="AF20" s="598" t="s">
        <v>353</v>
      </c>
      <c r="AG20" s="599"/>
      <c r="AH20" s="8">
        <v>76980</v>
      </c>
      <c r="AI20" s="8">
        <v>2182</v>
      </c>
      <c r="AJ20" s="8">
        <v>5728</v>
      </c>
      <c r="AK20" s="8">
        <v>7910</v>
      </c>
      <c r="AL20" s="8">
        <v>2146</v>
      </c>
      <c r="AM20" s="8">
        <v>5726</v>
      </c>
      <c r="AN20" s="11">
        <v>7872</v>
      </c>
    </row>
    <row r="21" spans="1:40" ht="17.5" thickBot="1">
      <c r="A21" s="600" t="s">
        <v>26</v>
      </c>
      <c r="B21" s="601"/>
      <c r="C21" s="16" t="s">
        <v>22</v>
      </c>
      <c r="D21" s="16" t="s">
        <v>22</v>
      </c>
      <c r="E21" s="16" t="s">
        <v>22</v>
      </c>
      <c r="F21" s="17">
        <v>31679</v>
      </c>
      <c r="G21" s="17">
        <v>35428</v>
      </c>
      <c r="H21" s="18">
        <v>67107</v>
      </c>
      <c r="O21" s="32" t="s">
        <v>188</v>
      </c>
      <c r="S21" s="97">
        <f>F88</f>
        <v>0</v>
      </c>
      <c r="AF21" s="598" t="s">
        <v>354</v>
      </c>
      <c r="AG21" s="599"/>
      <c r="AH21" s="8">
        <v>11571</v>
      </c>
      <c r="AI21" s="9">
        <v>688</v>
      </c>
      <c r="AJ21" s="8">
        <v>4500</v>
      </c>
      <c r="AK21" s="8">
        <v>5188</v>
      </c>
      <c r="AL21" s="9">
        <v>676</v>
      </c>
      <c r="AM21" s="8">
        <v>4498</v>
      </c>
      <c r="AN21" s="11">
        <v>5174</v>
      </c>
    </row>
    <row r="22" spans="1:40" ht="18" thickTop="1" thickBot="1">
      <c r="A22" s="19"/>
      <c r="B22" s="19"/>
      <c r="C22" s="20"/>
      <c r="D22" s="20"/>
      <c r="E22" s="20"/>
      <c r="F22" s="21"/>
      <c r="G22" s="21"/>
      <c r="H22" s="21"/>
      <c r="O22" t="s">
        <v>70</v>
      </c>
      <c r="Z22" s="75"/>
      <c r="AA22" t="s">
        <v>235</v>
      </c>
      <c r="AF22" s="600" t="s">
        <v>26</v>
      </c>
      <c r="AG22" s="601"/>
      <c r="AH22" s="16" t="s">
        <v>22</v>
      </c>
      <c r="AI22" s="17">
        <v>82104</v>
      </c>
      <c r="AJ22" s="17">
        <v>71140</v>
      </c>
      <c r="AK22" s="17">
        <v>153244</v>
      </c>
      <c r="AL22" s="17">
        <v>80762</v>
      </c>
      <c r="AM22" s="17">
        <v>71114</v>
      </c>
      <c r="AN22" s="18">
        <v>151876</v>
      </c>
    </row>
    <row r="23" spans="1:40" ht="17.5" thickTop="1">
      <c r="A23" t="s">
        <v>33</v>
      </c>
      <c r="K23" t="s">
        <v>274</v>
      </c>
    </row>
    <row r="24" spans="1:40" ht="21" thickBot="1">
      <c r="A24" t="s">
        <v>32</v>
      </c>
      <c r="I24" t="s">
        <v>275</v>
      </c>
      <c r="K24" s="25" t="s">
        <v>71</v>
      </c>
      <c r="L24" t="s">
        <v>72</v>
      </c>
      <c r="Q24" s="76" t="s">
        <v>244</v>
      </c>
      <c r="S24" t="s">
        <v>245</v>
      </c>
    </row>
    <row r="25" spans="1:40" ht="17.5" thickTop="1">
      <c r="A25" s="576" t="s">
        <v>1</v>
      </c>
      <c r="B25" s="577"/>
      <c r="C25" s="1" t="s">
        <v>2</v>
      </c>
      <c r="D25" s="615" t="s">
        <v>29</v>
      </c>
      <c r="E25" s="616"/>
      <c r="F25" s="616"/>
      <c r="G25" s="616"/>
      <c r="H25" s="616"/>
      <c r="I25" s="617"/>
      <c r="K25" s="576" t="s">
        <v>27</v>
      </c>
      <c r="L25" s="577"/>
      <c r="M25" s="1" t="s">
        <v>2</v>
      </c>
      <c r="N25" s="615" t="s">
        <v>234</v>
      </c>
      <c r="O25" s="616"/>
      <c r="P25" s="616"/>
      <c r="Q25" s="616"/>
      <c r="R25" s="616"/>
      <c r="S25" s="617"/>
    </row>
    <row r="26" spans="1:40">
      <c r="A26" s="613"/>
      <c r="B26" s="614"/>
      <c r="C26" s="2" t="s">
        <v>3</v>
      </c>
      <c r="D26" s="608" t="s">
        <v>30</v>
      </c>
      <c r="E26" s="609"/>
      <c r="F26" s="618"/>
      <c r="G26" s="608" t="s">
        <v>31</v>
      </c>
      <c r="H26" s="609"/>
      <c r="I26" s="610"/>
      <c r="K26" s="613"/>
      <c r="L26" s="614"/>
      <c r="M26" s="2" t="s">
        <v>3</v>
      </c>
      <c r="N26" s="608" t="s">
        <v>30</v>
      </c>
      <c r="O26" s="609"/>
      <c r="P26" s="618"/>
      <c r="Q26" s="608" t="s">
        <v>31</v>
      </c>
      <c r="R26" s="609"/>
      <c r="S26" s="610"/>
      <c r="U26" t="s">
        <v>35</v>
      </c>
      <c r="W26" t="s">
        <v>38</v>
      </c>
      <c r="Y26" t="s">
        <v>147</v>
      </c>
      <c r="Z26" t="s">
        <v>148</v>
      </c>
      <c r="AA26" s="32" t="s">
        <v>74</v>
      </c>
    </row>
    <row r="27" spans="1:40" ht="17.5" thickBot="1">
      <c r="A27" s="578"/>
      <c r="B27" s="579"/>
      <c r="C27" s="3" t="s">
        <v>4</v>
      </c>
      <c r="D27" s="4" t="s">
        <v>9</v>
      </c>
      <c r="E27" s="4" t="s">
        <v>10</v>
      </c>
      <c r="F27" s="4" t="s">
        <v>11</v>
      </c>
      <c r="G27" s="4" t="s">
        <v>9</v>
      </c>
      <c r="H27" s="4" t="s">
        <v>10</v>
      </c>
      <c r="I27" s="5" t="s">
        <v>11</v>
      </c>
      <c r="K27" s="578"/>
      <c r="L27" s="579"/>
      <c r="M27" s="3" t="s">
        <v>4</v>
      </c>
      <c r="N27" s="4" t="s">
        <v>9</v>
      </c>
      <c r="O27" s="4" t="s">
        <v>10</v>
      </c>
      <c r="P27" s="4" t="s">
        <v>11</v>
      </c>
      <c r="Q27" s="4" t="s">
        <v>9</v>
      </c>
      <c r="R27" s="4" t="s">
        <v>10</v>
      </c>
      <c r="S27" s="5" t="s">
        <v>11</v>
      </c>
      <c r="U27" t="s">
        <v>36</v>
      </c>
      <c r="V27">
        <v>2025</v>
      </c>
      <c r="W27">
        <v>2.59</v>
      </c>
      <c r="Y27" t="s">
        <v>12</v>
      </c>
      <c r="Z27" t="s">
        <v>73</v>
      </c>
      <c r="AA27" s="75">
        <v>11477.778199999999</v>
      </c>
    </row>
    <row r="28" spans="1:40" ht="17.5" thickTop="1">
      <c r="A28" s="611" t="s">
        <v>12</v>
      </c>
      <c r="B28" s="612"/>
      <c r="C28" s="6">
        <v>53</v>
      </c>
      <c r="D28" s="6">
        <v>131</v>
      </c>
      <c r="E28" s="6">
        <v>53</v>
      </c>
      <c r="F28" s="6">
        <v>184</v>
      </c>
      <c r="G28" s="6">
        <v>131</v>
      </c>
      <c r="H28" s="6">
        <v>53</v>
      </c>
      <c r="I28" s="7">
        <v>184</v>
      </c>
      <c r="J28" s="33" t="s">
        <v>107</v>
      </c>
      <c r="K28" s="611" t="s">
        <v>135</v>
      </c>
      <c r="L28" s="612"/>
      <c r="M28" s="6">
        <v>53</v>
      </c>
      <c r="N28" s="6">
        <f>AI10/2</f>
        <v>170</v>
      </c>
      <c r="O28" s="6">
        <f t="shared" ref="O28:S28" si="0">AJ10/2</f>
        <v>53</v>
      </c>
      <c r="P28" s="6">
        <f t="shared" si="0"/>
        <v>223</v>
      </c>
      <c r="Q28" s="6">
        <f t="shared" si="0"/>
        <v>170</v>
      </c>
      <c r="R28" s="6">
        <f t="shared" si="0"/>
        <v>53</v>
      </c>
      <c r="S28" s="7">
        <f t="shared" si="0"/>
        <v>223</v>
      </c>
      <c r="V28">
        <v>2029</v>
      </c>
      <c r="W28">
        <v>2.5499999999999998</v>
      </c>
      <c r="Y28" t="s">
        <v>13</v>
      </c>
      <c r="Z28" t="s">
        <v>75</v>
      </c>
      <c r="AA28" s="75">
        <v>907.24059999999997</v>
      </c>
    </row>
    <row r="29" spans="1:40">
      <c r="A29" s="598" t="s">
        <v>13</v>
      </c>
      <c r="B29" s="599"/>
      <c r="C29" s="8">
        <v>15360</v>
      </c>
      <c r="D29" s="9">
        <v>106</v>
      </c>
      <c r="E29" s="9">
        <v>896</v>
      </c>
      <c r="F29" s="8">
        <v>1002</v>
      </c>
      <c r="G29" s="9">
        <v>106</v>
      </c>
      <c r="H29" s="9">
        <v>896</v>
      </c>
      <c r="I29" s="11">
        <v>1002</v>
      </c>
      <c r="J29" s="33" t="s">
        <v>108</v>
      </c>
      <c r="K29" s="598" t="s">
        <v>136</v>
      </c>
      <c r="L29" s="599"/>
      <c r="M29" s="8">
        <v>15360</v>
      </c>
      <c r="N29" s="9">
        <f t="shared" ref="N29:S29" si="1">AI11/2</f>
        <v>138</v>
      </c>
      <c r="O29" s="8">
        <f t="shared" si="1"/>
        <v>896</v>
      </c>
      <c r="P29" s="8">
        <f t="shared" si="1"/>
        <v>1034</v>
      </c>
      <c r="Q29" s="9">
        <f t="shared" si="1"/>
        <v>135</v>
      </c>
      <c r="R29" s="8">
        <f t="shared" si="1"/>
        <v>896</v>
      </c>
      <c r="S29" s="11">
        <f t="shared" si="1"/>
        <v>1031</v>
      </c>
      <c r="U29" t="s">
        <v>37</v>
      </c>
      <c r="V29">
        <v>2025</v>
      </c>
      <c r="W29">
        <v>2</v>
      </c>
      <c r="Y29" t="s">
        <v>13</v>
      </c>
      <c r="Z29" t="s">
        <v>77</v>
      </c>
      <c r="AA29" s="75">
        <v>3134.9627</v>
      </c>
    </row>
    <row r="30" spans="1:40">
      <c r="A30" s="598" t="s">
        <v>14</v>
      </c>
      <c r="B30" s="599"/>
      <c r="C30" s="8">
        <v>88536</v>
      </c>
      <c r="D30" s="9">
        <v>793</v>
      </c>
      <c r="E30" s="8">
        <v>5751</v>
      </c>
      <c r="F30" s="8">
        <v>6544</v>
      </c>
      <c r="G30" s="9">
        <v>793</v>
      </c>
      <c r="H30" s="8">
        <v>5749</v>
      </c>
      <c r="I30" s="11">
        <v>6542</v>
      </c>
      <c r="J30" s="33" t="s">
        <v>109</v>
      </c>
      <c r="K30" s="598" t="s">
        <v>137</v>
      </c>
      <c r="L30" s="599"/>
      <c r="M30" s="8">
        <v>88536</v>
      </c>
      <c r="N30" s="8">
        <f t="shared" ref="N30:S30" si="2">AI12/2</f>
        <v>1028</v>
      </c>
      <c r="O30" s="8">
        <f t="shared" si="2"/>
        <v>5751</v>
      </c>
      <c r="P30" s="8">
        <f t="shared" si="2"/>
        <v>6779</v>
      </c>
      <c r="Q30" s="8">
        <f t="shared" si="2"/>
        <v>1011</v>
      </c>
      <c r="R30" s="8">
        <f t="shared" si="2"/>
        <v>5749</v>
      </c>
      <c r="S30" s="11">
        <f t="shared" si="2"/>
        <v>6760</v>
      </c>
      <c r="V30">
        <v>2029</v>
      </c>
      <c r="W30">
        <v>2</v>
      </c>
      <c r="Y30" t="s">
        <v>138</v>
      </c>
      <c r="Z30" t="s">
        <v>78</v>
      </c>
      <c r="AA30" s="75">
        <v>5454.9395000000004</v>
      </c>
    </row>
    <row r="31" spans="1:40">
      <c r="A31" s="598" t="s">
        <v>15</v>
      </c>
      <c r="B31" s="599"/>
      <c r="C31" s="8">
        <v>835928</v>
      </c>
      <c r="D31" s="8">
        <v>22386</v>
      </c>
      <c r="E31" s="8">
        <v>13118</v>
      </c>
      <c r="F31" s="8">
        <v>35504</v>
      </c>
      <c r="G31" s="8">
        <v>22386</v>
      </c>
      <c r="H31" s="8">
        <v>13113</v>
      </c>
      <c r="I31" s="11">
        <v>35499</v>
      </c>
      <c r="J31" s="33" t="s">
        <v>110</v>
      </c>
      <c r="K31" s="598" t="s">
        <v>139</v>
      </c>
      <c r="L31" s="599"/>
      <c r="M31" s="8">
        <v>835928</v>
      </c>
      <c r="N31" s="8">
        <f t="shared" ref="N31:S31" si="3">AI13/2</f>
        <v>29007</v>
      </c>
      <c r="O31" s="8">
        <f t="shared" si="3"/>
        <v>13118</v>
      </c>
      <c r="P31" s="8">
        <f t="shared" si="3"/>
        <v>42125</v>
      </c>
      <c r="Q31" s="8">
        <f t="shared" si="3"/>
        <v>28532</v>
      </c>
      <c r="R31" s="8">
        <f t="shared" si="3"/>
        <v>13113</v>
      </c>
      <c r="S31" s="11">
        <f t="shared" si="3"/>
        <v>41645</v>
      </c>
      <c r="Y31" t="s">
        <v>14</v>
      </c>
      <c r="Z31" t="s">
        <v>80</v>
      </c>
      <c r="AA31" s="75">
        <v>7192.9411</v>
      </c>
    </row>
    <row r="32" spans="1:40">
      <c r="A32" s="598" t="s">
        <v>16</v>
      </c>
      <c r="B32" s="599"/>
      <c r="C32" s="8">
        <v>114912</v>
      </c>
      <c r="D32" s="8">
        <v>2426</v>
      </c>
      <c r="E32" s="9">
        <v>578</v>
      </c>
      <c r="F32" s="8">
        <v>3004</v>
      </c>
      <c r="G32" s="8">
        <v>2426</v>
      </c>
      <c r="H32" s="9">
        <v>578</v>
      </c>
      <c r="I32" s="11">
        <v>3004</v>
      </c>
      <c r="J32" s="33" t="s">
        <v>111</v>
      </c>
      <c r="K32" s="598" t="s">
        <v>43</v>
      </c>
      <c r="L32" s="599"/>
      <c r="M32" s="8">
        <v>114912</v>
      </c>
      <c r="N32" s="8">
        <f t="shared" ref="N32:S32" si="4">AI14/2</f>
        <v>3144</v>
      </c>
      <c r="O32" s="8">
        <f t="shared" si="4"/>
        <v>578</v>
      </c>
      <c r="P32" s="8">
        <f t="shared" si="4"/>
        <v>3722</v>
      </c>
      <c r="Q32" s="8">
        <f t="shared" si="4"/>
        <v>3092</v>
      </c>
      <c r="R32" s="8">
        <f t="shared" si="4"/>
        <v>578</v>
      </c>
      <c r="S32" s="11">
        <f t="shared" si="4"/>
        <v>3670</v>
      </c>
      <c r="Y32" t="s">
        <v>140</v>
      </c>
      <c r="Z32" t="s">
        <v>85</v>
      </c>
      <c r="AA32" s="75">
        <v>24085.599100000003</v>
      </c>
    </row>
    <row r="33" spans="1:27">
      <c r="A33" s="598" t="s">
        <v>17</v>
      </c>
      <c r="B33" s="599"/>
      <c r="C33" s="8">
        <v>265206</v>
      </c>
      <c r="D33" s="8">
        <v>2071</v>
      </c>
      <c r="E33" s="9">
        <v>690</v>
      </c>
      <c r="F33" s="8">
        <v>2761</v>
      </c>
      <c r="G33" s="8">
        <v>2071</v>
      </c>
      <c r="H33" s="9">
        <v>690</v>
      </c>
      <c r="I33" s="11">
        <v>2761</v>
      </c>
      <c r="J33" s="33" t="s">
        <v>112</v>
      </c>
      <c r="K33" s="598" t="s">
        <v>141</v>
      </c>
      <c r="L33" s="599"/>
      <c r="M33" s="8">
        <v>265206</v>
      </c>
      <c r="N33" s="8">
        <f t="shared" ref="N33:S33" si="5">AI15/2</f>
        <v>2684</v>
      </c>
      <c r="O33" s="8">
        <f t="shared" si="5"/>
        <v>690</v>
      </c>
      <c r="P33" s="8">
        <f t="shared" si="5"/>
        <v>3374</v>
      </c>
      <c r="Q33" s="8">
        <f t="shared" si="5"/>
        <v>2640</v>
      </c>
      <c r="R33" s="8">
        <f t="shared" si="5"/>
        <v>690</v>
      </c>
      <c r="S33" s="11">
        <f t="shared" si="5"/>
        <v>3330</v>
      </c>
      <c r="Y33" t="s">
        <v>15</v>
      </c>
      <c r="Z33" t="s">
        <v>86</v>
      </c>
      <c r="AA33" s="75">
        <v>10713.892900000001</v>
      </c>
    </row>
    <row r="34" spans="1:27">
      <c r="A34" s="12" t="s">
        <v>18</v>
      </c>
      <c r="B34" s="15" t="s">
        <v>21</v>
      </c>
      <c r="C34" s="8">
        <v>195776</v>
      </c>
      <c r="D34" s="8">
        <v>2659</v>
      </c>
      <c r="E34" s="8">
        <v>9370</v>
      </c>
      <c r="F34" s="8">
        <v>12029</v>
      </c>
      <c r="G34" s="8">
        <v>2659</v>
      </c>
      <c r="H34" s="8">
        <v>9366</v>
      </c>
      <c r="I34" s="11">
        <v>12025</v>
      </c>
      <c r="J34" s="33" t="s">
        <v>120</v>
      </c>
      <c r="K34" s="12" t="s">
        <v>142</v>
      </c>
      <c r="L34" s="15" t="s">
        <v>21</v>
      </c>
      <c r="M34" s="8">
        <v>195776</v>
      </c>
      <c r="N34" s="8">
        <f t="shared" ref="N34:S34" si="6">AI16/2</f>
        <v>3446</v>
      </c>
      <c r="O34" s="8">
        <f t="shared" si="6"/>
        <v>9370</v>
      </c>
      <c r="P34" s="8">
        <f t="shared" si="6"/>
        <v>12816</v>
      </c>
      <c r="Q34" s="8">
        <f t="shared" si="6"/>
        <v>3390</v>
      </c>
      <c r="R34" s="8">
        <f t="shared" si="6"/>
        <v>9366</v>
      </c>
      <c r="S34" s="11">
        <f t="shared" si="6"/>
        <v>12756</v>
      </c>
      <c r="Y34" t="s">
        <v>15</v>
      </c>
      <c r="Z34" t="s">
        <v>87</v>
      </c>
      <c r="AA34" s="75">
        <v>10028.5581</v>
      </c>
    </row>
    <row r="35" spans="1:27">
      <c r="A35" s="13" t="s">
        <v>19</v>
      </c>
      <c r="B35" s="15" t="s">
        <v>14</v>
      </c>
      <c r="C35" s="8">
        <v>68522</v>
      </c>
      <c r="D35" s="9">
        <v>614</v>
      </c>
      <c r="E35" s="8">
        <v>4451</v>
      </c>
      <c r="F35" s="8">
        <v>5065</v>
      </c>
      <c r="G35" s="9">
        <v>614</v>
      </c>
      <c r="H35" s="8">
        <v>4449</v>
      </c>
      <c r="I35" s="11">
        <v>5063</v>
      </c>
      <c r="J35" s="33"/>
      <c r="K35" s="13" t="s">
        <v>19</v>
      </c>
      <c r="L35" s="15" t="s">
        <v>14</v>
      </c>
      <c r="M35" s="8">
        <v>68522</v>
      </c>
      <c r="N35" s="8">
        <f t="shared" ref="N35:S35" si="7">AI17/2</f>
        <v>796</v>
      </c>
      <c r="O35" s="8">
        <f t="shared" si="7"/>
        <v>4451</v>
      </c>
      <c r="P35" s="8">
        <f t="shared" si="7"/>
        <v>5247</v>
      </c>
      <c r="Q35" s="8">
        <f t="shared" si="7"/>
        <v>783</v>
      </c>
      <c r="R35" s="8">
        <f t="shared" si="7"/>
        <v>4449</v>
      </c>
      <c r="S35" s="11">
        <f t="shared" si="7"/>
        <v>5232</v>
      </c>
      <c r="Y35" t="s">
        <v>15</v>
      </c>
      <c r="Z35" t="s">
        <v>88</v>
      </c>
      <c r="AA35" s="75">
        <v>21685.084499999997</v>
      </c>
    </row>
    <row r="36" spans="1:27" ht="25">
      <c r="A36" s="13" t="s">
        <v>20</v>
      </c>
      <c r="B36" s="15" t="s">
        <v>13</v>
      </c>
      <c r="C36" s="8">
        <v>68522</v>
      </c>
      <c r="D36" s="9">
        <v>472</v>
      </c>
      <c r="E36" s="8">
        <v>3997</v>
      </c>
      <c r="F36" s="8">
        <v>4469</v>
      </c>
      <c r="G36" s="9">
        <v>472</v>
      </c>
      <c r="H36" s="8">
        <v>3995</v>
      </c>
      <c r="I36" s="11">
        <v>4467</v>
      </c>
      <c r="J36" s="33"/>
      <c r="K36" s="13" t="s">
        <v>20</v>
      </c>
      <c r="L36" s="15" t="s">
        <v>13</v>
      </c>
      <c r="M36" s="8">
        <v>68522</v>
      </c>
      <c r="N36" s="8">
        <f t="shared" ref="N36:S36" si="8">AI18/2</f>
        <v>612</v>
      </c>
      <c r="O36" s="8">
        <f t="shared" si="8"/>
        <v>3997</v>
      </c>
      <c r="P36" s="8">
        <f t="shared" si="8"/>
        <v>4609</v>
      </c>
      <c r="Q36" s="8">
        <f t="shared" si="8"/>
        <v>602</v>
      </c>
      <c r="R36" s="8">
        <f t="shared" si="8"/>
        <v>3995</v>
      </c>
      <c r="S36" s="11">
        <f t="shared" si="8"/>
        <v>4597</v>
      </c>
      <c r="Y36" t="s">
        <v>15</v>
      </c>
      <c r="Z36" t="s">
        <v>83</v>
      </c>
      <c r="AA36" s="75">
        <v>10018.5584</v>
      </c>
    </row>
    <row r="37" spans="1:27">
      <c r="A37" s="14"/>
      <c r="B37" s="15" t="s">
        <v>23</v>
      </c>
      <c r="C37" s="8">
        <v>58733</v>
      </c>
      <c r="D37" s="8">
        <v>1573</v>
      </c>
      <c r="E37" s="9">
        <v>922</v>
      </c>
      <c r="F37" s="8">
        <v>2495</v>
      </c>
      <c r="G37" s="8">
        <v>1573</v>
      </c>
      <c r="H37" s="9">
        <v>922</v>
      </c>
      <c r="I37" s="11">
        <v>2495</v>
      </c>
      <c r="J37" s="33"/>
      <c r="K37" s="14"/>
      <c r="L37" s="15" t="s">
        <v>23</v>
      </c>
      <c r="M37" s="8">
        <v>58733</v>
      </c>
      <c r="N37" s="8">
        <f t="shared" ref="N37:S37" si="9">AI19/2</f>
        <v>2038</v>
      </c>
      <c r="O37" s="8">
        <f t="shared" si="9"/>
        <v>922</v>
      </c>
      <c r="P37" s="8">
        <f t="shared" si="9"/>
        <v>2960</v>
      </c>
      <c r="Q37" s="8">
        <f t="shared" si="9"/>
        <v>2005</v>
      </c>
      <c r="R37" s="8">
        <f t="shared" si="9"/>
        <v>922</v>
      </c>
      <c r="S37" s="11">
        <f t="shared" si="9"/>
        <v>2927</v>
      </c>
      <c r="Y37" t="s">
        <v>15</v>
      </c>
      <c r="Z37" t="s">
        <v>84</v>
      </c>
      <c r="AA37" s="75">
        <v>5030.8546999999999</v>
      </c>
    </row>
    <row r="38" spans="1:27">
      <c r="A38" s="598" t="s">
        <v>24</v>
      </c>
      <c r="B38" s="599"/>
      <c r="C38" s="8">
        <v>76980</v>
      </c>
      <c r="D38" s="9">
        <v>842</v>
      </c>
      <c r="E38" s="8">
        <v>2864</v>
      </c>
      <c r="F38" s="8">
        <v>3706</v>
      </c>
      <c r="G38" s="9">
        <v>842</v>
      </c>
      <c r="H38" s="8">
        <v>2863</v>
      </c>
      <c r="I38" s="11">
        <v>3705</v>
      </c>
      <c r="J38" s="33" t="s">
        <v>124</v>
      </c>
      <c r="K38" s="598" t="s">
        <v>144</v>
      </c>
      <c r="L38" s="599"/>
      <c r="M38" s="8">
        <v>76980</v>
      </c>
      <c r="N38" s="8">
        <f t="shared" ref="N38:S38" si="10">AI20/2</f>
        <v>1091</v>
      </c>
      <c r="O38" s="8">
        <f t="shared" si="10"/>
        <v>2864</v>
      </c>
      <c r="P38" s="8">
        <f t="shared" si="10"/>
        <v>3955</v>
      </c>
      <c r="Q38" s="8">
        <f t="shared" si="10"/>
        <v>1073</v>
      </c>
      <c r="R38" s="8">
        <f t="shared" si="10"/>
        <v>2863</v>
      </c>
      <c r="S38" s="11">
        <f t="shared" si="10"/>
        <v>3936</v>
      </c>
      <c r="Y38" t="s">
        <v>15</v>
      </c>
      <c r="Z38" t="s">
        <v>89</v>
      </c>
      <c r="AA38" s="75">
        <v>6744.6391999999996</v>
      </c>
    </row>
    <row r="39" spans="1:27">
      <c r="A39" s="598" t="s">
        <v>25</v>
      </c>
      <c r="B39" s="599"/>
      <c r="C39" s="8">
        <v>11571</v>
      </c>
      <c r="D39" s="9">
        <v>265</v>
      </c>
      <c r="E39" s="8">
        <v>2250</v>
      </c>
      <c r="F39" s="8">
        <v>2515</v>
      </c>
      <c r="G39" s="9">
        <v>265</v>
      </c>
      <c r="H39" s="8">
        <v>2249</v>
      </c>
      <c r="I39" s="11">
        <v>2514</v>
      </c>
      <c r="J39" s="33" t="s">
        <v>129</v>
      </c>
      <c r="K39" s="598" t="s">
        <v>145</v>
      </c>
      <c r="L39" s="599"/>
      <c r="M39" s="8">
        <v>11571</v>
      </c>
      <c r="N39" s="9">
        <f t="shared" ref="N39:S39" si="11">AI21/2</f>
        <v>344</v>
      </c>
      <c r="O39" s="8">
        <f t="shared" si="11"/>
        <v>2250</v>
      </c>
      <c r="P39" s="8">
        <f t="shared" si="11"/>
        <v>2594</v>
      </c>
      <c r="Q39" s="9">
        <f t="shared" si="11"/>
        <v>338</v>
      </c>
      <c r="R39" s="8">
        <f t="shared" si="11"/>
        <v>2249</v>
      </c>
      <c r="S39" s="11">
        <f t="shared" si="11"/>
        <v>2587</v>
      </c>
      <c r="Y39" t="s">
        <v>15</v>
      </c>
      <c r="Z39" t="s">
        <v>90</v>
      </c>
      <c r="AA39" s="75">
        <v>9730.2787000000008</v>
      </c>
    </row>
    <row r="40" spans="1:27" ht="17.5" thickBot="1">
      <c r="A40" s="600" t="s">
        <v>26</v>
      </c>
      <c r="B40" s="601"/>
      <c r="C40" s="16" t="s">
        <v>22</v>
      </c>
      <c r="D40" s="17">
        <v>31679</v>
      </c>
      <c r="E40" s="17">
        <v>35570</v>
      </c>
      <c r="F40" s="17">
        <v>67249</v>
      </c>
      <c r="G40" s="17">
        <v>31679</v>
      </c>
      <c r="H40" s="17">
        <v>35557</v>
      </c>
      <c r="I40" s="18">
        <v>67236</v>
      </c>
      <c r="K40" s="600" t="s">
        <v>26</v>
      </c>
      <c r="L40" s="601"/>
      <c r="M40" s="16" t="s">
        <v>22</v>
      </c>
      <c r="N40" s="17">
        <f t="shared" ref="N40:S40" si="12">AI22/2</f>
        <v>41052</v>
      </c>
      <c r="O40" s="17">
        <f t="shared" si="12"/>
        <v>35570</v>
      </c>
      <c r="P40" s="17">
        <f t="shared" si="12"/>
        <v>76622</v>
      </c>
      <c r="Q40" s="17">
        <f t="shared" si="12"/>
        <v>40381</v>
      </c>
      <c r="R40" s="17">
        <f t="shared" si="12"/>
        <v>35557</v>
      </c>
      <c r="S40" s="18">
        <f t="shared" si="12"/>
        <v>75938</v>
      </c>
      <c r="Y40" t="s">
        <v>15</v>
      </c>
      <c r="Z40" t="s">
        <v>91</v>
      </c>
      <c r="AA40" s="75">
        <v>11598.4503</v>
      </c>
    </row>
    <row r="41" spans="1:27" ht="17.5" thickTop="1">
      <c r="A41" s="19"/>
      <c r="B41" s="19"/>
      <c r="C41" s="20"/>
      <c r="D41" s="21"/>
      <c r="E41" s="21"/>
      <c r="F41" s="21"/>
      <c r="G41" s="21"/>
      <c r="H41" s="21"/>
      <c r="I41" s="21"/>
      <c r="K41" s="19"/>
      <c r="L41" s="19"/>
      <c r="M41" s="20"/>
      <c r="N41" s="21"/>
      <c r="O41" s="21"/>
      <c r="P41" s="21"/>
      <c r="Q41" s="21"/>
      <c r="R41" s="21"/>
      <c r="S41" s="21"/>
      <c r="Y41" t="s">
        <v>15</v>
      </c>
      <c r="Z41" t="s">
        <v>92</v>
      </c>
      <c r="AA41" s="75">
        <v>20670.0766</v>
      </c>
    </row>
    <row r="42" spans="1:27" ht="23">
      <c r="A42" s="32"/>
      <c r="B42" s="99" t="s">
        <v>272</v>
      </c>
      <c r="I42" t="s">
        <v>245</v>
      </c>
      <c r="L42" s="99" t="s">
        <v>278</v>
      </c>
      <c r="S42" t="s">
        <v>245</v>
      </c>
      <c r="Y42" t="s">
        <v>15</v>
      </c>
      <c r="Z42" t="s">
        <v>93</v>
      </c>
      <c r="AA42" s="75">
        <v>6590.8657999999996</v>
      </c>
    </row>
    <row r="43" spans="1:27">
      <c r="B43" s="594" t="s">
        <v>268</v>
      </c>
      <c r="C43" s="594"/>
      <c r="D43" s="100"/>
      <c r="E43" s="100" t="s">
        <v>261</v>
      </c>
      <c r="F43" s="100" t="s">
        <v>262</v>
      </c>
      <c r="G43" s="100" t="s">
        <v>263</v>
      </c>
      <c r="H43" s="100" t="s">
        <v>264</v>
      </c>
      <c r="I43" s="100" t="s">
        <v>265</v>
      </c>
      <c r="J43" s="100"/>
      <c r="L43" s="594" t="s">
        <v>271</v>
      </c>
      <c r="M43" s="594"/>
      <c r="N43" s="100"/>
      <c r="O43" s="100" t="s">
        <v>261</v>
      </c>
      <c r="P43" s="100" t="s">
        <v>262</v>
      </c>
      <c r="Q43" s="100" t="s">
        <v>263</v>
      </c>
      <c r="R43" s="100" t="s">
        <v>264</v>
      </c>
      <c r="S43" s="100" t="s">
        <v>265</v>
      </c>
      <c r="T43" s="100"/>
      <c r="Y43" t="s">
        <v>15</v>
      </c>
      <c r="Z43" t="s">
        <v>94</v>
      </c>
      <c r="AA43" s="75">
        <v>3970.3760000000002</v>
      </c>
    </row>
    <row r="44" spans="1:27">
      <c r="B44" s="575" t="s">
        <v>135</v>
      </c>
      <c r="C44" s="575"/>
      <c r="D44" s="98"/>
      <c r="E44" s="581" t="s">
        <v>273</v>
      </c>
      <c r="F44" s="582"/>
      <c r="G44" s="582"/>
      <c r="H44" s="582"/>
      <c r="I44" s="583"/>
      <c r="J44" s="98"/>
      <c r="L44" s="575" t="s">
        <v>135</v>
      </c>
      <c r="M44" s="575"/>
      <c r="N44" s="98"/>
      <c r="O44" s="581" t="s">
        <v>273</v>
      </c>
      <c r="P44" s="582"/>
      <c r="Q44" s="582"/>
      <c r="R44" s="583"/>
      <c r="S44" s="98"/>
      <c r="T44" s="98"/>
      <c r="Y44" t="s">
        <v>15</v>
      </c>
      <c r="Z44" t="s">
        <v>95</v>
      </c>
      <c r="AA44" s="75">
        <v>14487.1335</v>
      </c>
    </row>
    <row r="45" spans="1:27" ht="16.5" customHeight="1">
      <c r="B45" s="575"/>
      <c r="C45" s="575"/>
      <c r="D45" s="98"/>
      <c r="E45" s="584"/>
      <c r="F45" s="585"/>
      <c r="G45" s="585"/>
      <c r="H45" s="585"/>
      <c r="I45" s="586"/>
      <c r="J45" s="98"/>
      <c r="L45" s="575"/>
      <c r="M45" s="575"/>
      <c r="N45" s="98"/>
      <c r="O45" s="584"/>
      <c r="P45" s="585"/>
      <c r="Q45" s="585"/>
      <c r="R45" s="586"/>
      <c r="S45" s="98"/>
      <c r="T45" s="98"/>
      <c r="Y45" t="s">
        <v>15</v>
      </c>
      <c r="Z45" t="s">
        <v>96</v>
      </c>
      <c r="AA45" s="75">
        <v>7440.5132000000003</v>
      </c>
    </row>
    <row r="46" spans="1:27" ht="16.5" customHeight="1">
      <c r="B46" s="575" t="s">
        <v>136</v>
      </c>
      <c r="C46" s="575"/>
      <c r="D46" s="98" t="s">
        <v>266</v>
      </c>
      <c r="E46" s="101">
        <f>$N$29*U11</f>
        <v>36.155999999999999</v>
      </c>
      <c r="F46" s="101">
        <f t="shared" ref="F46:H46" si="13">$N$29*V11</f>
        <v>10.35</v>
      </c>
      <c r="G46" s="101">
        <f t="shared" si="13"/>
        <v>82.524000000000001</v>
      </c>
      <c r="H46" s="101">
        <f t="shared" si="13"/>
        <v>8.9700000000000006</v>
      </c>
      <c r="I46" s="101">
        <f>SUM(E46:H46)</f>
        <v>138</v>
      </c>
      <c r="J46" s="98" t="b">
        <f>I46=N29</f>
        <v>1</v>
      </c>
      <c r="L46" s="575" t="s">
        <v>136</v>
      </c>
      <c r="M46" s="575"/>
      <c r="N46" s="98" t="s">
        <v>266</v>
      </c>
      <c r="O46" s="101">
        <f>$Q$29*U11</f>
        <v>35.370000000000005</v>
      </c>
      <c r="P46" s="101">
        <f t="shared" ref="P46:R46" si="14">$Q$29*V11</f>
        <v>10.125</v>
      </c>
      <c r="Q46" s="101">
        <f t="shared" si="14"/>
        <v>80.72999999999999</v>
      </c>
      <c r="R46" s="101">
        <f t="shared" si="14"/>
        <v>8.7750000000000004</v>
      </c>
      <c r="S46" s="101">
        <f>SUM(O46:R46)</f>
        <v>135</v>
      </c>
      <c r="T46" s="98" t="b">
        <f>S46=Q29</f>
        <v>1</v>
      </c>
      <c r="Y46" t="s">
        <v>15</v>
      </c>
      <c r="Z46" t="s">
        <v>97</v>
      </c>
      <c r="AA46" s="75">
        <v>20150.029900000001</v>
      </c>
    </row>
    <row r="47" spans="1:27" ht="27" customHeight="1">
      <c r="B47" s="575"/>
      <c r="C47" s="575"/>
      <c r="D47" s="98" t="s">
        <v>267</v>
      </c>
      <c r="E47" s="101">
        <f>$O$29*U12</f>
        <v>198.01599999999999</v>
      </c>
      <c r="F47" s="101">
        <f t="shared" ref="F47:H47" si="15">$O$29*V12</f>
        <v>68.992000000000004</v>
      </c>
      <c r="G47" s="101">
        <f t="shared" si="15"/>
        <v>567.16800000000001</v>
      </c>
      <c r="H47" s="101">
        <f t="shared" si="15"/>
        <v>61.824000000000005</v>
      </c>
      <c r="I47" s="101">
        <f>SUM(E47:H47)</f>
        <v>895.99999999999989</v>
      </c>
      <c r="J47" s="98" t="b">
        <f>I47=O29</f>
        <v>1</v>
      </c>
      <c r="L47" s="575"/>
      <c r="M47" s="575"/>
      <c r="N47" s="98" t="s">
        <v>267</v>
      </c>
      <c r="O47" s="101">
        <f>$R$29*U12</f>
        <v>198.01599999999999</v>
      </c>
      <c r="P47" s="101">
        <f t="shared" ref="P47:R47" si="16">$R$29*V12</f>
        <v>68.992000000000004</v>
      </c>
      <c r="Q47" s="101">
        <f t="shared" si="16"/>
        <v>567.16800000000001</v>
      </c>
      <c r="R47" s="101">
        <f t="shared" si="16"/>
        <v>61.824000000000005</v>
      </c>
      <c r="S47" s="101">
        <f>SUM(O47:R47)</f>
        <v>895.99999999999989</v>
      </c>
      <c r="T47" s="98" t="b">
        <f>S47=R29</f>
        <v>1</v>
      </c>
      <c r="Y47" t="s">
        <v>15</v>
      </c>
      <c r="Z47" t="s">
        <v>98</v>
      </c>
      <c r="AA47" s="75">
        <v>8631.4781000000003</v>
      </c>
    </row>
    <row r="48" spans="1:27" ht="27" customHeight="1">
      <c r="B48" s="575" t="s">
        <v>137</v>
      </c>
      <c r="C48" s="575"/>
      <c r="D48" s="98" t="s">
        <v>266</v>
      </c>
      <c r="E48" s="101">
        <f>$N$30*U15</f>
        <v>312.512</v>
      </c>
      <c r="F48" s="101">
        <f t="shared" ref="F48:H48" si="17">$N$30*V15</f>
        <v>74.015999999999991</v>
      </c>
      <c r="G48" s="101">
        <f t="shared" si="17"/>
        <v>425.59199999999998</v>
      </c>
      <c r="H48" s="101">
        <f t="shared" si="17"/>
        <v>215.88</v>
      </c>
      <c r="I48" s="101">
        <f t="shared" ref="I48:I55" si="18">SUM(E48:H48)</f>
        <v>1028</v>
      </c>
      <c r="J48" s="98" t="b">
        <f>I48=N30</f>
        <v>1</v>
      </c>
      <c r="L48" s="575" t="s">
        <v>137</v>
      </c>
      <c r="M48" s="575"/>
      <c r="N48" s="98" t="s">
        <v>266</v>
      </c>
      <c r="O48" s="101">
        <f>$Q$30*U15</f>
        <v>307.34399999999999</v>
      </c>
      <c r="P48" s="101">
        <f t="shared" ref="P48:R48" si="19">$Q$30*V15</f>
        <v>72.792000000000002</v>
      </c>
      <c r="Q48" s="101">
        <f t="shared" si="19"/>
        <v>418.55399999999997</v>
      </c>
      <c r="R48" s="101">
        <f t="shared" si="19"/>
        <v>212.31</v>
      </c>
      <c r="S48" s="101">
        <f t="shared" ref="S48:S55" si="20">SUM(O48:R48)</f>
        <v>1011</v>
      </c>
      <c r="T48" s="98" t="b">
        <f>S48=Q30</f>
        <v>1</v>
      </c>
      <c r="Y48" t="s">
        <v>15</v>
      </c>
      <c r="Z48" t="s">
        <v>99</v>
      </c>
      <c r="AA48" s="75">
        <v>11977.777099999999</v>
      </c>
    </row>
    <row r="49" spans="2:27" ht="27" customHeight="1">
      <c r="B49" s="575"/>
      <c r="C49" s="575"/>
      <c r="D49" s="98" t="s">
        <v>267</v>
      </c>
      <c r="E49" s="101">
        <f>$O$30*U16</f>
        <v>1777.059</v>
      </c>
      <c r="F49" s="101">
        <f t="shared" ref="F49:H49" si="21">$O$30*V16</f>
        <v>437.07599999999996</v>
      </c>
      <c r="G49" s="101">
        <f t="shared" si="21"/>
        <v>2133.6210000000001</v>
      </c>
      <c r="H49" s="101">
        <f t="shared" si="21"/>
        <v>1403.2439999999999</v>
      </c>
      <c r="I49" s="101">
        <f t="shared" si="18"/>
        <v>5750.9999999999991</v>
      </c>
      <c r="J49" s="98" t="b">
        <f>I49=O30</f>
        <v>1</v>
      </c>
      <c r="L49" s="575"/>
      <c r="M49" s="575"/>
      <c r="N49" s="98" t="s">
        <v>267</v>
      </c>
      <c r="O49" s="101">
        <f>$R$30*U16</f>
        <v>1776.441</v>
      </c>
      <c r="P49" s="101">
        <f t="shared" ref="P49:R49" si="22">$R$30*V16</f>
        <v>436.92399999999998</v>
      </c>
      <c r="Q49" s="101">
        <f t="shared" si="22"/>
        <v>2132.8789999999999</v>
      </c>
      <c r="R49" s="101">
        <f t="shared" si="22"/>
        <v>1402.7559999999999</v>
      </c>
      <c r="S49" s="101">
        <f t="shared" si="20"/>
        <v>5749</v>
      </c>
      <c r="T49" s="98" t="b">
        <f>S49=R30</f>
        <v>1</v>
      </c>
      <c r="Y49" t="s">
        <v>15</v>
      </c>
      <c r="Z49" t="s">
        <v>100</v>
      </c>
      <c r="AA49" s="75">
        <v>5754.1068999999998</v>
      </c>
    </row>
    <row r="50" spans="2:27" ht="27" customHeight="1">
      <c r="B50" s="575" t="s">
        <v>139</v>
      </c>
      <c r="C50" s="575"/>
      <c r="D50" s="98" t="s">
        <v>266</v>
      </c>
      <c r="E50" s="101">
        <f>$N$31*U13</f>
        <v>11167.695</v>
      </c>
      <c r="F50" s="101">
        <f t="shared" ref="F50:H50" si="23">$N$31*V13</f>
        <v>1479.357</v>
      </c>
      <c r="G50" s="101">
        <f t="shared" si="23"/>
        <v>10094.436</v>
      </c>
      <c r="H50" s="101">
        <f t="shared" si="23"/>
        <v>6265.5119999999997</v>
      </c>
      <c r="I50" s="101">
        <f t="shared" si="18"/>
        <v>29006.999999999996</v>
      </c>
      <c r="J50" s="98" t="b">
        <f>I50=N31</f>
        <v>1</v>
      </c>
      <c r="L50" s="575" t="s">
        <v>139</v>
      </c>
      <c r="M50" s="575"/>
      <c r="N50" s="98" t="s">
        <v>266</v>
      </c>
      <c r="O50" s="101">
        <f>$Q$31*U13</f>
        <v>10984.82</v>
      </c>
      <c r="P50" s="101">
        <f t="shared" ref="P50:R50" si="24">$Q$31*V13</f>
        <v>1455.1319999999998</v>
      </c>
      <c r="Q50" s="101">
        <f t="shared" si="24"/>
        <v>9929.1359999999986</v>
      </c>
      <c r="R50" s="101">
        <f t="shared" si="24"/>
        <v>6162.9120000000003</v>
      </c>
      <c r="S50" s="101">
        <f t="shared" si="20"/>
        <v>28531.999999999996</v>
      </c>
      <c r="T50" s="98" t="b">
        <f>S50=Q31</f>
        <v>1</v>
      </c>
      <c r="Y50" t="s">
        <v>15</v>
      </c>
      <c r="Z50" t="s">
        <v>101</v>
      </c>
      <c r="AA50" s="75">
        <v>6005.2467999999999</v>
      </c>
    </row>
    <row r="51" spans="2:27" ht="27" customHeight="1">
      <c r="B51" s="575"/>
      <c r="C51" s="575"/>
      <c r="D51" s="98" t="s">
        <v>267</v>
      </c>
      <c r="E51" s="101">
        <f>$O$31*U14</f>
        <v>5234.0820000000003</v>
      </c>
      <c r="F51" s="101">
        <f t="shared" ref="F51:H51" si="25">$O$31*V14</f>
        <v>813.31600000000003</v>
      </c>
      <c r="G51" s="101">
        <f t="shared" si="25"/>
        <v>3213.91</v>
      </c>
      <c r="H51" s="101">
        <f t="shared" si="25"/>
        <v>3856.692</v>
      </c>
      <c r="I51" s="101">
        <f t="shared" si="18"/>
        <v>13118</v>
      </c>
      <c r="J51" s="98" t="b">
        <f>I51=O31</f>
        <v>1</v>
      </c>
      <c r="L51" s="575"/>
      <c r="M51" s="575"/>
      <c r="N51" s="98" t="s">
        <v>267</v>
      </c>
      <c r="O51" s="101">
        <f>$R$31*U14</f>
        <v>5232.0870000000004</v>
      </c>
      <c r="P51" s="101">
        <f t="shared" ref="P51:R51" si="26">$R$31*V14</f>
        <v>813.00599999999997</v>
      </c>
      <c r="Q51" s="101">
        <f t="shared" si="26"/>
        <v>3212.6849999999999</v>
      </c>
      <c r="R51" s="101">
        <f t="shared" si="26"/>
        <v>3855.2219999999998</v>
      </c>
      <c r="S51" s="101">
        <f t="shared" si="20"/>
        <v>13113</v>
      </c>
      <c r="T51" s="98" t="b">
        <f>S51=R31</f>
        <v>1</v>
      </c>
      <c r="Y51" t="s">
        <v>16</v>
      </c>
      <c r="Z51" t="s">
        <v>113</v>
      </c>
      <c r="AA51" s="75">
        <v>10596.0813</v>
      </c>
    </row>
    <row r="52" spans="2:27" ht="27" customHeight="1">
      <c r="B52" s="575" t="s">
        <v>43</v>
      </c>
      <c r="C52" s="575"/>
      <c r="D52" s="98" t="s">
        <v>266</v>
      </c>
      <c r="E52" s="101">
        <f>$N$32*U13</f>
        <v>1210.44</v>
      </c>
      <c r="F52" s="101">
        <f t="shared" ref="F52:H52" si="27">$N$32*V13</f>
        <v>160.34399999999999</v>
      </c>
      <c r="G52" s="101">
        <f t="shared" si="27"/>
        <v>1094.1119999999999</v>
      </c>
      <c r="H52" s="101">
        <f t="shared" si="27"/>
        <v>679.10400000000004</v>
      </c>
      <c r="I52" s="101">
        <f t="shared" si="18"/>
        <v>3144</v>
      </c>
      <c r="J52" s="98" t="b">
        <f>I52=N32</f>
        <v>1</v>
      </c>
      <c r="L52" s="575" t="s">
        <v>43</v>
      </c>
      <c r="M52" s="575"/>
      <c r="N52" s="98" t="s">
        <v>266</v>
      </c>
      <c r="O52" s="101">
        <f>$Q$32*U13</f>
        <v>1190.42</v>
      </c>
      <c r="P52" s="101">
        <f t="shared" ref="P52:R52" si="28">$Q$32*V13</f>
        <v>157.69199999999998</v>
      </c>
      <c r="Q52" s="101">
        <f t="shared" si="28"/>
        <v>1076.0159999999998</v>
      </c>
      <c r="R52" s="101">
        <f t="shared" si="28"/>
        <v>667.87199999999996</v>
      </c>
      <c r="S52" s="101">
        <f t="shared" si="20"/>
        <v>3091.9999999999995</v>
      </c>
      <c r="T52" s="98" t="b">
        <f>S52=Q32</f>
        <v>1</v>
      </c>
      <c r="Y52" t="s">
        <v>16</v>
      </c>
      <c r="Z52" t="s">
        <v>114</v>
      </c>
      <c r="AA52" s="75">
        <v>10127.7948</v>
      </c>
    </row>
    <row r="53" spans="2:27" ht="27" customHeight="1">
      <c r="B53" s="575"/>
      <c r="C53" s="575"/>
      <c r="D53" s="98" t="s">
        <v>267</v>
      </c>
      <c r="E53" s="101">
        <f>$O$32*U14</f>
        <v>230.62200000000001</v>
      </c>
      <c r="F53" s="101">
        <f t="shared" ref="F53:H53" si="29">$O$32*V14</f>
        <v>35.835999999999999</v>
      </c>
      <c r="G53" s="101">
        <f t="shared" si="29"/>
        <v>141.60999999999999</v>
      </c>
      <c r="H53" s="101">
        <f t="shared" si="29"/>
        <v>169.93199999999999</v>
      </c>
      <c r="I53" s="101">
        <f t="shared" si="18"/>
        <v>578</v>
      </c>
      <c r="J53" s="98" t="b">
        <f>I53=O32</f>
        <v>1</v>
      </c>
      <c r="L53" s="575"/>
      <c r="M53" s="575"/>
      <c r="N53" s="98" t="s">
        <v>267</v>
      </c>
      <c r="O53" s="101">
        <f>$R$32*U14</f>
        <v>230.62200000000001</v>
      </c>
      <c r="P53" s="101">
        <f t="shared" ref="P53:R53" si="30">$R$32*V14</f>
        <v>35.835999999999999</v>
      </c>
      <c r="Q53" s="101">
        <f t="shared" si="30"/>
        <v>141.60999999999999</v>
      </c>
      <c r="R53" s="101">
        <f t="shared" si="30"/>
        <v>169.93199999999999</v>
      </c>
      <c r="S53" s="101">
        <f t="shared" si="20"/>
        <v>578</v>
      </c>
      <c r="T53" s="98" t="b">
        <f>S53=R32</f>
        <v>1</v>
      </c>
      <c r="Y53" t="s">
        <v>16</v>
      </c>
      <c r="Z53" t="s">
        <v>115</v>
      </c>
      <c r="AA53" s="75">
        <v>8987.5704000000005</v>
      </c>
    </row>
    <row r="54" spans="2:27" ht="16.5" customHeight="1">
      <c r="B54" s="575" t="s">
        <v>141</v>
      </c>
      <c r="C54" s="575"/>
      <c r="D54" s="98" t="s">
        <v>266</v>
      </c>
      <c r="E54" s="101">
        <f>$N$33*U13</f>
        <v>1033.3399999999999</v>
      </c>
      <c r="F54" s="101">
        <f t="shared" ref="F54:H54" si="31">$N$33*V13</f>
        <v>136.88399999999999</v>
      </c>
      <c r="G54" s="101">
        <f t="shared" si="31"/>
        <v>934.03199999999993</v>
      </c>
      <c r="H54" s="101">
        <f t="shared" si="31"/>
        <v>579.74400000000003</v>
      </c>
      <c r="I54" s="101">
        <f t="shared" si="18"/>
        <v>2684</v>
      </c>
      <c r="J54" s="98" t="b">
        <f>I54=N33</f>
        <v>1</v>
      </c>
      <c r="L54" s="575" t="s">
        <v>141</v>
      </c>
      <c r="M54" s="575"/>
      <c r="N54" s="98" t="s">
        <v>266</v>
      </c>
      <c r="O54" s="101">
        <f>$Q$33*U13</f>
        <v>1016.4</v>
      </c>
      <c r="P54" s="101">
        <f t="shared" ref="P54:R54" si="32">$Q$33*V13</f>
        <v>134.63999999999999</v>
      </c>
      <c r="Q54" s="101">
        <f t="shared" si="32"/>
        <v>918.71999999999991</v>
      </c>
      <c r="R54" s="101">
        <f t="shared" si="32"/>
        <v>570.24</v>
      </c>
      <c r="S54" s="101">
        <f t="shared" si="20"/>
        <v>2640</v>
      </c>
      <c r="T54" s="98" t="b">
        <f>S54=Q33</f>
        <v>1</v>
      </c>
      <c r="Y54" t="s">
        <v>141</v>
      </c>
      <c r="Z54" t="s">
        <v>116</v>
      </c>
      <c r="AA54" s="75">
        <v>2607.4872</v>
      </c>
    </row>
    <row r="55" spans="2:27" ht="16.5" customHeight="1">
      <c r="B55" s="575"/>
      <c r="C55" s="575"/>
      <c r="D55" s="98" t="s">
        <v>267</v>
      </c>
      <c r="E55" s="101">
        <f>$O$33*U14</f>
        <v>275.31</v>
      </c>
      <c r="F55" s="101">
        <f t="shared" ref="F55:H55" si="33">$O$33*V14</f>
        <v>42.78</v>
      </c>
      <c r="G55" s="101">
        <f t="shared" si="33"/>
        <v>169.04999999999998</v>
      </c>
      <c r="H55" s="101">
        <f t="shared" si="33"/>
        <v>202.85999999999999</v>
      </c>
      <c r="I55" s="101">
        <f t="shared" si="18"/>
        <v>690</v>
      </c>
      <c r="J55" s="98" t="b">
        <f>I55=O33</f>
        <v>1</v>
      </c>
      <c r="L55" s="575"/>
      <c r="M55" s="575"/>
      <c r="N55" s="98" t="s">
        <v>267</v>
      </c>
      <c r="O55" s="101">
        <f>$R$33*U14</f>
        <v>275.31</v>
      </c>
      <c r="P55" s="101">
        <f t="shared" ref="P55:R55" si="34">$R$33*V14</f>
        <v>42.78</v>
      </c>
      <c r="Q55" s="101">
        <f t="shared" si="34"/>
        <v>169.04999999999998</v>
      </c>
      <c r="R55" s="101">
        <f t="shared" si="34"/>
        <v>202.85999999999999</v>
      </c>
      <c r="S55" s="101">
        <f t="shared" si="20"/>
        <v>690</v>
      </c>
      <c r="T55" s="98" t="b">
        <f>S55=R33</f>
        <v>1</v>
      </c>
      <c r="Y55" t="s">
        <v>141</v>
      </c>
      <c r="Z55" t="s">
        <v>103</v>
      </c>
      <c r="AA55" s="75">
        <v>15824.4439</v>
      </c>
    </row>
    <row r="56" spans="2:27" ht="38.25" customHeight="1">
      <c r="B56" s="575" t="s">
        <v>269</v>
      </c>
      <c r="C56" s="575" t="s">
        <v>14</v>
      </c>
      <c r="D56" s="98" t="s">
        <v>266</v>
      </c>
      <c r="E56" s="101">
        <f>$N$35*U15</f>
        <v>241.98399999999998</v>
      </c>
      <c r="F56" s="101">
        <f>$N$35*V15</f>
        <v>57.311999999999998</v>
      </c>
      <c r="G56" s="101">
        <f>$N$35*W15</f>
        <v>329.54399999999998</v>
      </c>
      <c r="H56" s="101">
        <f>$N$35*X15</f>
        <v>167.16</v>
      </c>
      <c r="I56" s="101">
        <f t="shared" ref="I56:I61" si="35">SUM(E56:H56)</f>
        <v>795.99999999999989</v>
      </c>
      <c r="J56" s="98" t="b">
        <f>I56=N35</f>
        <v>1</v>
      </c>
      <c r="L56" s="575" t="s">
        <v>269</v>
      </c>
      <c r="M56" s="575" t="s">
        <v>14</v>
      </c>
      <c r="N56" s="98" t="s">
        <v>266</v>
      </c>
      <c r="O56" s="101">
        <f>$Q$35*U15</f>
        <v>238.03199999999998</v>
      </c>
      <c r="P56" s="101">
        <f t="shared" ref="P56:R56" si="36">$Q$35*V15</f>
        <v>56.375999999999998</v>
      </c>
      <c r="Q56" s="101">
        <f t="shared" si="36"/>
        <v>324.16199999999998</v>
      </c>
      <c r="R56" s="101">
        <f t="shared" si="36"/>
        <v>164.43</v>
      </c>
      <c r="S56" s="101">
        <f t="shared" ref="S56:S61" si="37">SUM(O56:R56)</f>
        <v>783</v>
      </c>
      <c r="T56" s="98" t="b">
        <f>S56=Q35</f>
        <v>1</v>
      </c>
      <c r="Y56" t="s">
        <v>141</v>
      </c>
      <c r="Z56" t="s">
        <v>104</v>
      </c>
      <c r="AA56" s="75">
        <v>11511.7454</v>
      </c>
    </row>
    <row r="57" spans="2:27">
      <c r="B57" s="575"/>
      <c r="C57" s="575"/>
      <c r="D57" s="98" t="s">
        <v>267</v>
      </c>
      <c r="E57" s="101">
        <f>$O$35*U16</f>
        <v>1375.3589999999999</v>
      </c>
      <c r="F57" s="101">
        <f>$O$35*V16</f>
        <v>338.27600000000001</v>
      </c>
      <c r="G57" s="101">
        <f>$O$35*W16</f>
        <v>1651.3209999999999</v>
      </c>
      <c r="H57" s="101">
        <f>$O$35*X16</f>
        <v>1086.0439999999999</v>
      </c>
      <c r="I57" s="101">
        <f t="shared" si="35"/>
        <v>4451</v>
      </c>
      <c r="J57" s="98" t="b">
        <f>I57=O35</f>
        <v>1</v>
      </c>
      <c r="L57" s="575"/>
      <c r="M57" s="575"/>
      <c r="N57" s="98" t="s">
        <v>267</v>
      </c>
      <c r="O57" s="101">
        <f>$R$35*U16</f>
        <v>1374.741</v>
      </c>
      <c r="P57" s="101">
        <f t="shared" ref="P57:R57" si="38">$R$35*V16</f>
        <v>338.12399999999997</v>
      </c>
      <c r="Q57" s="101">
        <f t="shared" si="38"/>
        <v>1650.579</v>
      </c>
      <c r="R57" s="101">
        <f t="shared" si="38"/>
        <v>1085.556</v>
      </c>
      <c r="S57" s="101">
        <f t="shared" si="37"/>
        <v>4449</v>
      </c>
      <c r="T57" s="98" t="b">
        <f>S57=R35</f>
        <v>1</v>
      </c>
      <c r="Y57" t="s">
        <v>141</v>
      </c>
      <c r="Z57" t="s">
        <v>117</v>
      </c>
      <c r="AA57" s="75">
        <v>4659.9287999999997</v>
      </c>
    </row>
    <row r="58" spans="2:27" ht="25.5" customHeight="1">
      <c r="B58" s="575"/>
      <c r="C58" s="575" t="s">
        <v>13</v>
      </c>
      <c r="D58" s="98" t="s">
        <v>266</v>
      </c>
      <c r="E58" s="101">
        <f>$N$36*U11</f>
        <v>160.34399999999999</v>
      </c>
      <c r="F58" s="101">
        <f t="shared" ref="F58:H58" si="39">$N$36*V11</f>
        <v>45.9</v>
      </c>
      <c r="G58" s="101">
        <f t="shared" si="39"/>
        <v>365.976</v>
      </c>
      <c r="H58" s="101">
        <f t="shared" si="39"/>
        <v>39.78</v>
      </c>
      <c r="I58" s="101">
        <f t="shared" si="35"/>
        <v>612</v>
      </c>
      <c r="J58" s="98" t="b">
        <f>I58=N36</f>
        <v>1</v>
      </c>
      <c r="L58" s="575"/>
      <c r="M58" s="575" t="s">
        <v>13</v>
      </c>
      <c r="N58" s="98" t="s">
        <v>266</v>
      </c>
      <c r="O58" s="101">
        <f>$Q$36*U11</f>
        <v>157.72400000000002</v>
      </c>
      <c r="P58" s="101">
        <f t="shared" ref="P58:R58" si="40">$Q$36*V11</f>
        <v>45.15</v>
      </c>
      <c r="Q58" s="101">
        <f t="shared" si="40"/>
        <v>359.99599999999998</v>
      </c>
      <c r="R58" s="101">
        <f t="shared" si="40"/>
        <v>39.130000000000003</v>
      </c>
      <c r="S58" s="101">
        <f t="shared" si="37"/>
        <v>602</v>
      </c>
      <c r="T58" s="98" t="b">
        <f>S58=Q36</f>
        <v>1</v>
      </c>
      <c r="Y58" t="s">
        <v>141</v>
      </c>
      <c r="Z58" t="s">
        <v>118</v>
      </c>
      <c r="AA58" s="75">
        <v>23055.857</v>
      </c>
    </row>
    <row r="59" spans="2:27" ht="25.5" customHeight="1">
      <c r="B59" s="575"/>
      <c r="C59" s="575"/>
      <c r="D59" s="98" t="s">
        <v>267</v>
      </c>
      <c r="E59" s="101">
        <f>$O$36*U12</f>
        <v>883.33699999999999</v>
      </c>
      <c r="F59" s="101">
        <f t="shared" ref="F59:H59" si="41">$O$36*V12</f>
        <v>307.76900000000001</v>
      </c>
      <c r="G59" s="101">
        <f t="shared" si="41"/>
        <v>2530.1010000000001</v>
      </c>
      <c r="H59" s="101">
        <f t="shared" si="41"/>
        <v>275.79300000000001</v>
      </c>
      <c r="I59" s="101">
        <f t="shared" si="35"/>
        <v>3997.0000000000005</v>
      </c>
      <c r="J59" s="98" t="b">
        <f>I59=O36</f>
        <v>1</v>
      </c>
      <c r="L59" s="575"/>
      <c r="M59" s="575"/>
      <c r="N59" s="98" t="s">
        <v>267</v>
      </c>
      <c r="O59" s="101">
        <f>$R$36*U12</f>
        <v>882.89499999999998</v>
      </c>
      <c r="P59" s="101">
        <f t="shared" ref="P59:R59" si="42">$R$36*V12</f>
        <v>307.61500000000001</v>
      </c>
      <c r="Q59" s="101">
        <f t="shared" si="42"/>
        <v>2528.835</v>
      </c>
      <c r="R59" s="101">
        <f t="shared" si="42"/>
        <v>275.65500000000003</v>
      </c>
      <c r="S59" s="101">
        <f t="shared" si="37"/>
        <v>3995.0000000000005</v>
      </c>
      <c r="T59" s="98" t="b">
        <f>S59=R36</f>
        <v>1</v>
      </c>
      <c r="Y59" t="s">
        <v>141</v>
      </c>
      <c r="Z59" t="s">
        <v>119</v>
      </c>
      <c r="AA59" s="75">
        <v>12131.7871</v>
      </c>
    </row>
    <row r="60" spans="2:27">
      <c r="B60" s="575"/>
      <c r="C60" s="575" t="s">
        <v>23</v>
      </c>
      <c r="D60" s="98" t="s">
        <v>266</v>
      </c>
      <c r="E60" s="101">
        <f>$N$37*U17</f>
        <v>654.19799999999998</v>
      </c>
      <c r="F60" s="101">
        <f t="shared" ref="F60:H60" si="43">$N$37*V17</f>
        <v>146.73599999999999</v>
      </c>
      <c r="G60" s="101">
        <f t="shared" si="43"/>
        <v>857.99799999999993</v>
      </c>
      <c r="H60" s="101">
        <f t="shared" si="43"/>
        <v>379.06799999999998</v>
      </c>
      <c r="I60" s="101">
        <f t="shared" si="35"/>
        <v>2037.9999999999998</v>
      </c>
      <c r="J60" s="98" t="b">
        <f>I60=N37</f>
        <v>1</v>
      </c>
      <c r="L60" s="575"/>
      <c r="M60" s="575" t="s">
        <v>23</v>
      </c>
      <c r="N60" s="98" t="s">
        <v>266</v>
      </c>
      <c r="O60" s="101">
        <f>$Q$37*U17</f>
        <v>643.60500000000002</v>
      </c>
      <c r="P60" s="101">
        <f t="shared" ref="P60:R60" si="44">$Q$37*V17</f>
        <v>144.35999999999999</v>
      </c>
      <c r="Q60" s="101">
        <f t="shared" si="44"/>
        <v>844.10500000000002</v>
      </c>
      <c r="R60" s="101">
        <f t="shared" si="44"/>
        <v>372.93</v>
      </c>
      <c r="S60" s="101">
        <f t="shared" si="37"/>
        <v>2005.0000000000002</v>
      </c>
      <c r="T60" s="98" t="b">
        <f>S60=Q37</f>
        <v>1</v>
      </c>
      <c r="Y60" t="s">
        <v>143</v>
      </c>
      <c r="Z60" t="s">
        <v>121</v>
      </c>
      <c r="AA60" s="75">
        <v>17191.4817</v>
      </c>
    </row>
    <row r="61" spans="2:27">
      <c r="B61" s="575"/>
      <c r="C61" s="575"/>
      <c r="D61" s="98" t="s">
        <v>267</v>
      </c>
      <c r="E61" s="101">
        <f>$O$37*U18</f>
        <v>317.16799999999995</v>
      </c>
      <c r="F61" s="101">
        <f t="shared" ref="F61:H61" si="45">$O$37*V18</f>
        <v>87.59</v>
      </c>
      <c r="G61" s="101">
        <f t="shared" si="45"/>
        <v>352.20400000000001</v>
      </c>
      <c r="H61" s="101">
        <f t="shared" si="45"/>
        <v>165.03799999999998</v>
      </c>
      <c r="I61" s="101">
        <f t="shared" si="35"/>
        <v>922</v>
      </c>
      <c r="J61" s="98" t="b">
        <f>I61=O37</f>
        <v>1</v>
      </c>
      <c r="L61" s="575"/>
      <c r="M61" s="575"/>
      <c r="N61" s="98" t="s">
        <v>267</v>
      </c>
      <c r="O61" s="101">
        <f>$R$37*U18</f>
        <v>317.16799999999995</v>
      </c>
      <c r="P61" s="101">
        <f t="shared" ref="P61:R61" si="46">$R$37*V18</f>
        <v>87.59</v>
      </c>
      <c r="Q61" s="101">
        <f t="shared" si="46"/>
        <v>352.20400000000001</v>
      </c>
      <c r="R61" s="101">
        <f t="shared" si="46"/>
        <v>165.03799999999998</v>
      </c>
      <c r="S61" s="101">
        <f t="shared" si="37"/>
        <v>922</v>
      </c>
      <c r="T61" s="98" t="b">
        <f>S61=R37</f>
        <v>1</v>
      </c>
      <c r="Y61" t="s">
        <v>143</v>
      </c>
      <c r="Z61" t="s">
        <v>122</v>
      </c>
      <c r="AA61" s="75">
        <v>22736.497299999999</v>
      </c>
    </row>
    <row r="62" spans="2:27">
      <c r="B62" s="575" t="s">
        <v>144</v>
      </c>
      <c r="C62" s="575"/>
      <c r="D62" s="98" t="s">
        <v>266</v>
      </c>
      <c r="E62" s="101">
        <f>$N$38*U15</f>
        <v>331.66399999999999</v>
      </c>
      <c r="F62" s="101">
        <f t="shared" ref="F62:H62" si="47">$N$38*V15</f>
        <v>78.551999999999992</v>
      </c>
      <c r="G62" s="101">
        <f t="shared" si="47"/>
        <v>451.67399999999998</v>
      </c>
      <c r="H62" s="101">
        <f t="shared" si="47"/>
        <v>229.10999999999999</v>
      </c>
      <c r="I62" s="101">
        <f t="shared" ref="I62:I65" si="48">SUM(E62:H62)</f>
        <v>1091</v>
      </c>
      <c r="J62" s="98" t="b">
        <f>I62=N38</f>
        <v>1</v>
      </c>
      <c r="L62" s="575" t="s">
        <v>144</v>
      </c>
      <c r="M62" s="575"/>
      <c r="N62" s="98" t="s">
        <v>266</v>
      </c>
      <c r="O62" s="101">
        <f>$Q$38*U15</f>
        <v>326.19200000000001</v>
      </c>
      <c r="P62" s="101">
        <f t="shared" ref="P62:R62" si="49">$Q$38*V15</f>
        <v>77.256</v>
      </c>
      <c r="Q62" s="101">
        <f t="shared" si="49"/>
        <v>444.22199999999998</v>
      </c>
      <c r="R62" s="101">
        <f t="shared" si="49"/>
        <v>225.32999999999998</v>
      </c>
      <c r="S62" s="101">
        <f t="shared" ref="S62:S65" si="50">SUM(O62:R62)</f>
        <v>1073</v>
      </c>
      <c r="T62" s="98" t="b">
        <f>S62=Q38</f>
        <v>1</v>
      </c>
      <c r="Y62" t="s">
        <v>143</v>
      </c>
      <c r="Z62" t="s">
        <v>123</v>
      </c>
      <c r="AA62" s="75">
        <v>11592.5041</v>
      </c>
    </row>
    <row r="63" spans="2:27">
      <c r="B63" s="575"/>
      <c r="C63" s="575"/>
      <c r="D63" s="98" t="s">
        <v>267</v>
      </c>
      <c r="E63" s="101">
        <f>$O$38*U16</f>
        <v>884.976</v>
      </c>
      <c r="F63" s="101">
        <f t="shared" ref="F63:H63" si="51">$O$38*V16</f>
        <v>217.66399999999999</v>
      </c>
      <c r="G63" s="101">
        <f t="shared" si="51"/>
        <v>1062.5440000000001</v>
      </c>
      <c r="H63" s="101">
        <f t="shared" si="51"/>
        <v>698.81600000000003</v>
      </c>
      <c r="I63" s="101">
        <f t="shared" si="48"/>
        <v>2864</v>
      </c>
      <c r="J63" s="98" t="b">
        <f>I63=O38</f>
        <v>1</v>
      </c>
      <c r="L63" s="575"/>
      <c r="M63" s="575"/>
      <c r="N63" s="98" t="s">
        <v>267</v>
      </c>
      <c r="O63" s="101">
        <f>$R$38*U16</f>
        <v>884.66700000000003</v>
      </c>
      <c r="P63" s="101">
        <f t="shared" ref="P63:R63" si="52">$R$38*V16</f>
        <v>217.58799999999999</v>
      </c>
      <c r="Q63" s="101">
        <f t="shared" si="52"/>
        <v>1062.173</v>
      </c>
      <c r="R63" s="101">
        <f t="shared" si="52"/>
        <v>698.572</v>
      </c>
      <c r="S63" s="101">
        <f t="shared" si="50"/>
        <v>2863</v>
      </c>
      <c r="T63" s="98" t="b">
        <f>S63=R38</f>
        <v>1</v>
      </c>
      <c r="Y63" t="s">
        <v>144</v>
      </c>
      <c r="Z63" t="s">
        <v>125</v>
      </c>
      <c r="AA63" s="75">
        <v>11518.725399999999</v>
      </c>
    </row>
    <row r="64" spans="2:27" ht="16.5" customHeight="1">
      <c r="B64" s="575" t="s">
        <v>270</v>
      </c>
      <c r="C64" s="575"/>
      <c r="D64" s="98" t="s">
        <v>266</v>
      </c>
      <c r="E64" s="101">
        <f>$N$39*U11</f>
        <v>90.128</v>
      </c>
      <c r="F64" s="101">
        <f t="shared" ref="F64:H64" si="53">$N$39*V11</f>
        <v>25.8</v>
      </c>
      <c r="G64" s="101">
        <f t="shared" si="53"/>
        <v>205.71199999999999</v>
      </c>
      <c r="H64" s="101">
        <f t="shared" si="53"/>
        <v>22.36</v>
      </c>
      <c r="I64" s="101">
        <f t="shared" si="48"/>
        <v>344</v>
      </c>
      <c r="J64" s="98" t="b">
        <f>I64=N39</f>
        <v>1</v>
      </c>
      <c r="L64" s="575" t="s">
        <v>270</v>
      </c>
      <c r="M64" s="575"/>
      <c r="N64" s="98" t="s">
        <v>266</v>
      </c>
      <c r="O64" s="101">
        <f>$Q$39*U11</f>
        <v>88.555999999999997</v>
      </c>
      <c r="P64" s="101">
        <f t="shared" ref="P64:R64" si="54">$Q$39*V11</f>
        <v>25.349999999999998</v>
      </c>
      <c r="Q64" s="101">
        <f t="shared" si="54"/>
        <v>202.124</v>
      </c>
      <c r="R64" s="101">
        <f t="shared" si="54"/>
        <v>21.970000000000002</v>
      </c>
      <c r="S64" s="101">
        <f t="shared" si="50"/>
        <v>338</v>
      </c>
      <c r="T64" s="98" t="b">
        <f>S64=Q39</f>
        <v>1</v>
      </c>
      <c r="Y64" t="s">
        <v>24</v>
      </c>
      <c r="Z64" t="s">
        <v>126</v>
      </c>
      <c r="AA64" s="75">
        <v>8739.51</v>
      </c>
    </row>
    <row r="65" spans="2:27">
      <c r="B65" s="575"/>
      <c r="C65" s="575"/>
      <c r="D65" s="98" t="s">
        <v>267</v>
      </c>
      <c r="E65" s="101">
        <f>$O$39*U12</f>
        <v>497.25</v>
      </c>
      <c r="F65" s="101">
        <f t="shared" ref="F65:H65" si="55">$O$39*V12</f>
        <v>173.25</v>
      </c>
      <c r="G65" s="101">
        <f t="shared" si="55"/>
        <v>1424.25</v>
      </c>
      <c r="H65" s="101">
        <f t="shared" si="55"/>
        <v>155.25</v>
      </c>
      <c r="I65" s="101">
        <f t="shared" si="48"/>
        <v>2250</v>
      </c>
      <c r="J65" s="98" t="b">
        <f>I65=O39</f>
        <v>1</v>
      </c>
      <c r="L65" s="575"/>
      <c r="M65" s="575"/>
      <c r="N65" s="98" t="s">
        <v>267</v>
      </c>
      <c r="O65" s="101">
        <f>$R$39*U12</f>
        <v>497.029</v>
      </c>
      <c r="P65" s="101">
        <f t="shared" ref="P65:R65" si="56">$R$39*V12</f>
        <v>173.173</v>
      </c>
      <c r="Q65" s="101">
        <f t="shared" si="56"/>
        <v>1423.617</v>
      </c>
      <c r="R65" s="101">
        <f t="shared" si="56"/>
        <v>155.18100000000001</v>
      </c>
      <c r="S65" s="101">
        <f t="shared" si="50"/>
        <v>2249</v>
      </c>
      <c r="T65" s="98" t="b">
        <f>S65=R39</f>
        <v>1</v>
      </c>
      <c r="Y65" t="s">
        <v>146</v>
      </c>
      <c r="Z65" t="s">
        <v>127</v>
      </c>
      <c r="AA65" s="75">
        <v>2599.7966999999999</v>
      </c>
    </row>
    <row r="66" spans="2:27">
      <c r="Y66" t="s">
        <v>146</v>
      </c>
      <c r="Z66" t="s">
        <v>128</v>
      </c>
      <c r="AA66" s="75">
        <v>1032.4983</v>
      </c>
    </row>
    <row r="67" spans="2:27">
      <c r="Y67" t="s">
        <v>146</v>
      </c>
      <c r="Z67" t="s">
        <v>130</v>
      </c>
      <c r="AA67" s="75">
        <v>1625.5998999999999</v>
      </c>
    </row>
    <row r="68" spans="2:27">
      <c r="Y68" t="s">
        <v>146</v>
      </c>
      <c r="Z68" t="s">
        <v>131</v>
      </c>
      <c r="AA68" s="75">
        <v>2880.0880999999999</v>
      </c>
    </row>
    <row r="69" spans="2:27" ht="23">
      <c r="B69" s="102" t="s">
        <v>355</v>
      </c>
      <c r="L69" s="102" t="s">
        <v>356</v>
      </c>
      <c r="Y69" t="s">
        <v>146</v>
      </c>
      <c r="Z69" t="s">
        <v>132</v>
      </c>
      <c r="AA69" s="75">
        <v>687.99680000000001</v>
      </c>
    </row>
    <row r="70" spans="2:27" ht="16.5" customHeight="1">
      <c r="Y70" t="s">
        <v>146</v>
      </c>
      <c r="Z70" t="s">
        <v>133</v>
      </c>
      <c r="AA70" s="75">
        <v>2308.0711000000001</v>
      </c>
    </row>
    <row r="71" spans="2:27" ht="16.5" customHeight="1">
      <c r="G71" t="s">
        <v>277</v>
      </c>
      <c r="Y71" t="s">
        <v>146</v>
      </c>
      <c r="Z71" t="s">
        <v>134</v>
      </c>
      <c r="AA71" s="75">
        <v>4090.5911999999998</v>
      </c>
    </row>
    <row r="72" spans="2:27">
      <c r="C72" s="580" t="s">
        <v>27</v>
      </c>
      <c r="D72" s="580"/>
      <c r="E72" s="160" t="s">
        <v>261</v>
      </c>
      <c r="F72" s="160" t="s">
        <v>262</v>
      </c>
      <c r="G72" s="160" t="s">
        <v>357</v>
      </c>
      <c r="I72" s="100" t="s">
        <v>264</v>
      </c>
      <c r="J72" s="100" t="s">
        <v>265</v>
      </c>
      <c r="M72" s="580" t="s">
        <v>27</v>
      </c>
      <c r="N72" s="580"/>
      <c r="O72" s="160" t="s">
        <v>261</v>
      </c>
      <c r="P72" s="160" t="s">
        <v>262</v>
      </c>
      <c r="Q72" s="160" t="s">
        <v>358</v>
      </c>
    </row>
    <row r="73" spans="2:27" ht="16.5" customHeight="1">
      <c r="C73" s="574" t="s">
        <v>135</v>
      </c>
      <c r="D73" s="574"/>
      <c r="E73" s="161"/>
      <c r="F73" s="161"/>
      <c r="G73" s="161"/>
      <c r="I73" s="98"/>
      <c r="J73" s="98"/>
      <c r="M73" s="574" t="s">
        <v>135</v>
      </c>
      <c r="N73" s="574"/>
      <c r="O73" s="161"/>
      <c r="P73" s="161"/>
      <c r="Q73" s="161"/>
    </row>
    <row r="74" spans="2:27">
      <c r="C74" s="574" t="s">
        <v>136</v>
      </c>
      <c r="D74" s="574"/>
      <c r="E74" s="162">
        <f>SUM(E$46:E$47)/$L$7</f>
        <v>166.07943262411348</v>
      </c>
      <c r="F74" s="162">
        <f>SUM(F$46:F$47)/$M$7</f>
        <v>52.894666666666666</v>
      </c>
      <c r="G74" s="162">
        <f>SUM(G$46:G$47)/$O$7</f>
        <v>22.566585620006947</v>
      </c>
      <c r="I74" s="98"/>
      <c r="J74" s="98"/>
      <c r="M74" s="574" t="s">
        <v>136</v>
      </c>
      <c r="N74" s="574"/>
      <c r="O74" s="162">
        <f>SUM(O$46:O$47)/$L$7</f>
        <v>165.52198581560285</v>
      </c>
      <c r="P74" s="162">
        <f>SUM(P$46:P$47)/$M$7</f>
        <v>52.744666666666667</v>
      </c>
      <c r="Q74" s="162">
        <f>SUM(Q$46:Q$47)/$O$7</f>
        <v>22.50427231677666</v>
      </c>
    </row>
    <row r="75" spans="2:27" ht="16.5" customHeight="1">
      <c r="C75" s="574" t="s">
        <v>137</v>
      </c>
      <c r="D75" s="574"/>
      <c r="E75" s="162">
        <f>SUM(E$48:E$49)/$L$7</f>
        <v>1481.9652482269503</v>
      </c>
      <c r="F75" s="162">
        <f>SUM(F$48:F$49)/$M$7</f>
        <v>340.72800000000001</v>
      </c>
      <c r="G75" s="162">
        <f>SUM(G$48:G$49)/$O$7</f>
        <v>88.892427926363325</v>
      </c>
      <c r="I75" s="98"/>
      <c r="J75" s="98"/>
      <c r="M75" s="574" t="s">
        <v>137</v>
      </c>
      <c r="N75" s="574"/>
      <c r="O75" s="162">
        <f>SUM(O$48:O$49)/$L$7</f>
        <v>1477.8617021276596</v>
      </c>
      <c r="P75" s="162">
        <f>SUM(P$48:P$49)/$M$7</f>
        <v>339.81066666666669</v>
      </c>
      <c r="Q75" s="162">
        <f>SUM(Q$48:Q$49)/$O$7</f>
        <v>88.622195206668991</v>
      </c>
    </row>
    <row r="76" spans="2:27">
      <c r="C76" s="574" t="s">
        <v>139</v>
      </c>
      <c r="D76" s="574"/>
      <c r="E76" s="162">
        <f>SUM(E$50:E$51)/$L$7</f>
        <v>11632.46595744681</v>
      </c>
      <c r="F76" s="162">
        <f>SUM(F$50:F$51)/$M$7</f>
        <v>1528.4486666666664</v>
      </c>
      <c r="G76" s="162">
        <f>SUM(G$50:G$51)/$O$7</f>
        <v>462.25585272664119</v>
      </c>
      <c r="I76" s="98"/>
      <c r="J76" s="98"/>
      <c r="M76" s="574" t="s">
        <v>139</v>
      </c>
      <c r="N76" s="574"/>
      <c r="O76" s="162">
        <f>SUM(O$50:O$51)/$L$7</f>
        <v>11501.352482269504</v>
      </c>
      <c r="P76" s="162">
        <f>SUM(P$50:P$51)/$M$7</f>
        <v>1512.0919999999999</v>
      </c>
      <c r="Q76" s="162">
        <f>SUM(Q$50:Q$51)/$O$7</f>
        <v>456.47172629385199</v>
      </c>
    </row>
    <row r="77" spans="2:27" ht="16.5" customHeight="1">
      <c r="C77" s="574" t="s">
        <v>43</v>
      </c>
      <c r="D77" s="574"/>
      <c r="E77" s="162">
        <f>SUM(E$52:E$53)/$L$7</f>
        <v>1022.0297872340427</v>
      </c>
      <c r="F77" s="162">
        <f>SUM(F$52:F$53)/$M$7</f>
        <v>130.78666666666666</v>
      </c>
      <c r="G77" s="162">
        <f>SUM(G$52:G$53)/$O$7</f>
        <v>42.921917332407077</v>
      </c>
      <c r="I77" s="98"/>
      <c r="J77" s="98"/>
      <c r="M77" s="574" t="s">
        <v>43</v>
      </c>
      <c r="N77" s="574"/>
      <c r="O77" s="162">
        <f>SUM(O$52:O$53)/$L$7</f>
        <v>1007.831205673759</v>
      </c>
      <c r="P77" s="162">
        <f>SUM(P$52:P$53)/$M$7</f>
        <v>129.01866666666663</v>
      </c>
      <c r="Q77" s="162">
        <f>SUM(Q$52:Q$53)/$O$7</f>
        <v>42.293365751997214</v>
      </c>
    </row>
    <row r="78" spans="2:27">
      <c r="C78" s="574" t="s">
        <v>141</v>
      </c>
      <c r="D78" s="574"/>
      <c r="E78" s="162">
        <f>SUM(E$54:E$55)/$L$7</f>
        <v>928.12056737588648</v>
      </c>
      <c r="F78" s="162">
        <f>SUM(F$54:F$55)/$M$7</f>
        <v>119.776</v>
      </c>
      <c r="G78" s="162">
        <f>SUM(G$54:G$55)/$O$7</f>
        <v>38.314762070163248</v>
      </c>
      <c r="I78" s="98"/>
      <c r="J78" s="98"/>
      <c r="M78" s="574" t="s">
        <v>141</v>
      </c>
      <c r="N78" s="574"/>
      <c r="O78" s="162">
        <f>SUM(O$54:O$55)/$L$7</f>
        <v>916.10638297872345</v>
      </c>
      <c r="P78" s="162">
        <f>SUM(P$54:P$55)/$M$7</f>
        <v>118.27999999999999</v>
      </c>
      <c r="Q78" s="162">
        <f>SUM(Q$54:Q$55)/$O$7</f>
        <v>37.782910732893363</v>
      </c>
    </row>
    <row r="79" spans="2:27">
      <c r="C79" s="103" t="s">
        <v>142</v>
      </c>
      <c r="D79" s="103" t="s">
        <v>21</v>
      </c>
      <c r="E79" s="162"/>
      <c r="F79" s="162"/>
      <c r="G79" s="162"/>
      <c r="I79" s="98"/>
      <c r="J79" s="98"/>
      <c r="M79" s="103" t="s">
        <v>142</v>
      </c>
      <c r="N79" s="103" t="s">
        <v>21</v>
      </c>
      <c r="O79" s="162"/>
      <c r="P79" s="162"/>
      <c r="Q79" s="162"/>
    </row>
    <row r="80" spans="2:27">
      <c r="C80" s="103" t="s">
        <v>19</v>
      </c>
      <c r="D80" s="103" t="s">
        <v>14</v>
      </c>
      <c r="E80" s="162">
        <f>SUM(E$56:E$57)/$L$7</f>
        <v>1147.0517730496454</v>
      </c>
      <c r="F80" s="162">
        <f>SUM(F$56:F$57)/$M$7</f>
        <v>263.72533333333337</v>
      </c>
      <c r="G80" s="162">
        <f>SUM(G$56:G$57)/$O$7</f>
        <v>68.803924973949279</v>
      </c>
      <c r="I80" s="98"/>
      <c r="J80" s="98"/>
      <c r="M80" s="103" t="s">
        <v>19</v>
      </c>
      <c r="N80" s="103" t="s">
        <v>14</v>
      </c>
      <c r="O80" s="162">
        <f>SUM(O$56:O$57)/$L$7</f>
        <v>1143.8106382978724</v>
      </c>
      <c r="P80" s="162">
        <f>SUM(P$56:P$57)/$M$7</f>
        <v>262.99999999999994</v>
      </c>
      <c r="Q80" s="162">
        <f>SUM(Q$56:Q$57)/$O$7</f>
        <v>68.591212226467519</v>
      </c>
    </row>
    <row r="81" spans="3:40" ht="17.25" customHeight="1">
      <c r="C81" s="103" t="s">
        <v>20</v>
      </c>
      <c r="D81" s="103" t="s">
        <v>13</v>
      </c>
      <c r="E81" s="162">
        <f>SUM(E$58:E$59)/$L$7</f>
        <v>740.19929078014195</v>
      </c>
      <c r="F81" s="162">
        <f>SUM(F$58:F$59)/$M$7</f>
        <v>235.77933333333331</v>
      </c>
      <c r="G81" s="162">
        <f>SUM(G$58:G$59)/$O$7</f>
        <v>100.59315734630081</v>
      </c>
      <c r="I81" s="98"/>
      <c r="J81" s="98"/>
      <c r="M81" s="103" t="s">
        <v>20</v>
      </c>
      <c r="N81" s="103" t="s">
        <v>13</v>
      </c>
      <c r="O81" s="162">
        <f>SUM(O$58:O$59)/$L$7</f>
        <v>738.02765957446809</v>
      </c>
      <c r="P81" s="162">
        <f>SUM(P$58:P$59)/$M$7</f>
        <v>235.17666666666665</v>
      </c>
      <c r="Q81" s="162">
        <f>SUM(Q$58:Q$59)/$O$7</f>
        <v>100.34147273358806</v>
      </c>
    </row>
    <row r="82" spans="3:40" ht="17.5" thickBot="1">
      <c r="C82" s="104"/>
      <c r="D82" s="103" t="s">
        <v>23</v>
      </c>
      <c r="E82" s="162">
        <f>SUM(E$60:E$61)/$L$7</f>
        <v>688.91205673758873</v>
      </c>
      <c r="F82" s="162">
        <f>SUM(F$60:F$61)/$M$7</f>
        <v>156.21733333333333</v>
      </c>
      <c r="G82" s="162">
        <f>SUM(G$60:G$61)/$O$7</f>
        <v>42.035498436957276</v>
      </c>
      <c r="I82" s="98"/>
      <c r="J82" s="98"/>
      <c r="M82" s="104"/>
      <c r="N82" s="103" t="s">
        <v>23</v>
      </c>
      <c r="O82" s="162">
        <f>SUM(O$60:O$61)/$L$7</f>
        <v>681.39929078014177</v>
      </c>
      <c r="P82" s="162">
        <f>SUM(P$60:P$61)/$M$7</f>
        <v>154.63333333333333</v>
      </c>
      <c r="Q82" s="162">
        <f>SUM(Q$60:Q$61)/$O$7</f>
        <v>41.552935046891285</v>
      </c>
      <c r="AF82" s="8">
        <v>6288</v>
      </c>
      <c r="AG82" s="8">
        <v>5368</v>
      </c>
      <c r="AH82" s="8">
        <v>6892</v>
      </c>
      <c r="AI82" s="8">
        <v>1592</v>
      </c>
      <c r="AJ82" s="8">
        <v>1224</v>
      </c>
      <c r="AK82" s="8">
        <v>4076</v>
      </c>
      <c r="AL82" s="8">
        <v>2182</v>
      </c>
      <c r="AM82" s="9">
        <v>688</v>
      </c>
      <c r="AN82" s="17">
        <v>82104</v>
      </c>
    </row>
    <row r="83" spans="3:40" ht="18" customHeight="1" thickTop="1" thickBot="1">
      <c r="C83" s="574" t="s">
        <v>144</v>
      </c>
      <c r="D83" s="574"/>
      <c r="E83" s="162">
        <f>SUM(E$62:E$63)/$L$7</f>
        <v>862.86524822695026</v>
      </c>
      <c r="F83" s="162">
        <f>SUM(F$62:F$63)/$M$7</f>
        <v>197.47733333333335</v>
      </c>
      <c r="G83" s="162">
        <f>SUM(G$62:G$63)/$O$7</f>
        <v>52.595276137547764</v>
      </c>
      <c r="I83" s="98"/>
      <c r="J83" s="98"/>
      <c r="M83" s="574" t="s">
        <v>144</v>
      </c>
      <c r="N83" s="574"/>
      <c r="O83" s="162">
        <f>SUM(O$62:O$63)/$L$7</f>
        <v>858.76524822695035</v>
      </c>
      <c r="P83" s="162">
        <f>SUM(P$62:P$63)/$M$7</f>
        <v>196.56266666666667</v>
      </c>
      <c r="Q83" s="162">
        <f>SUM(Q$62:Q$63)/$O$7</f>
        <v>52.32354984369573</v>
      </c>
      <c r="AF83" s="8">
        <v>1156</v>
      </c>
      <c r="AG83" s="8">
        <v>1380</v>
      </c>
      <c r="AH83" s="8">
        <v>18740</v>
      </c>
      <c r="AI83" s="8">
        <v>8902</v>
      </c>
      <c r="AJ83" s="8">
        <v>7994</v>
      </c>
      <c r="AK83" s="8">
        <v>1844</v>
      </c>
      <c r="AL83" s="8">
        <v>5728</v>
      </c>
      <c r="AM83" s="8">
        <v>4500</v>
      </c>
      <c r="AN83" s="17">
        <v>71140</v>
      </c>
    </row>
    <row r="84" spans="3:40" ht="18" thickTop="1" thickBot="1">
      <c r="C84" s="574" t="s">
        <v>145</v>
      </c>
      <c r="D84" s="574"/>
      <c r="E84" s="162">
        <f>SUM(E$64:E$65)/$L$7</f>
        <v>416.58014184397166</v>
      </c>
      <c r="F84" s="162">
        <f>SUM(F$64:F$65)/$M$7</f>
        <v>132.70000000000002</v>
      </c>
      <c r="G84" s="162">
        <f>SUM(G$64:G$65)/$O$7</f>
        <v>56.615560958666208</v>
      </c>
      <c r="I84" s="98"/>
      <c r="J84" s="98"/>
      <c r="M84" s="574" t="s">
        <v>145</v>
      </c>
      <c r="N84" s="574"/>
      <c r="O84" s="162">
        <f>SUM(O$64:O$65)/$L$7</f>
        <v>415.30851063829795</v>
      </c>
      <c r="P84" s="162">
        <f>SUM(P$64:P$65)/$M$7</f>
        <v>132.34866666666667</v>
      </c>
      <c r="Q84" s="162">
        <f>SUM(Q$64:Q$65)/$O$7</f>
        <v>56.468947551233072</v>
      </c>
      <c r="AF84" s="8">
        <v>7444</v>
      </c>
      <c r="AG84" s="8">
        <v>6748</v>
      </c>
      <c r="AH84" s="8">
        <v>25632</v>
      </c>
      <c r="AI84" s="8">
        <v>10494</v>
      </c>
      <c r="AJ84" s="8">
        <v>9218</v>
      </c>
      <c r="AK84" s="8">
        <v>5920</v>
      </c>
      <c r="AL84" s="8">
        <v>7910</v>
      </c>
      <c r="AM84" s="8">
        <v>5188</v>
      </c>
      <c r="AN84" s="17">
        <v>153244</v>
      </c>
    </row>
    <row r="85" spans="3:40" ht="18" thickTop="1" thickBot="1">
      <c r="C85" s="574" t="s">
        <v>26</v>
      </c>
      <c r="D85" s="574"/>
      <c r="E85" s="161"/>
      <c r="F85" s="161"/>
      <c r="G85" s="161"/>
      <c r="I85" s="98"/>
      <c r="J85" s="98"/>
      <c r="M85" s="574" t="s">
        <v>26</v>
      </c>
      <c r="N85" s="574"/>
      <c r="O85" s="161"/>
      <c r="P85" s="161"/>
      <c r="Q85" s="161"/>
      <c r="AF85" s="8">
        <v>6184</v>
      </c>
      <c r="AG85" s="8">
        <v>5280</v>
      </c>
      <c r="AH85" s="8">
        <v>6780</v>
      </c>
      <c r="AI85" s="8">
        <v>1566</v>
      </c>
      <c r="AJ85" s="8">
        <v>1204</v>
      </c>
      <c r="AK85" s="8">
        <v>4010</v>
      </c>
      <c r="AL85" s="8">
        <v>2146</v>
      </c>
      <c r="AM85" s="9">
        <v>676</v>
      </c>
      <c r="AN85" s="17">
        <v>80762</v>
      </c>
    </row>
    <row r="86" spans="3:40" ht="18" thickTop="1" thickBot="1">
      <c r="AF86" s="8">
        <v>1156</v>
      </c>
      <c r="AG86" s="8">
        <v>1380</v>
      </c>
      <c r="AH86" s="8">
        <v>18732</v>
      </c>
      <c r="AI86" s="8">
        <v>8898</v>
      </c>
      <c r="AJ86" s="8">
        <v>7990</v>
      </c>
      <c r="AK86" s="8">
        <v>1844</v>
      </c>
      <c r="AL86" s="8">
        <v>5726</v>
      </c>
      <c r="AM86" s="8">
        <v>4498</v>
      </c>
      <c r="AN86" s="17">
        <v>71114</v>
      </c>
    </row>
    <row r="87" spans="3:40" ht="45" thickTop="1" thickBot="1">
      <c r="J87" s="26" t="s">
        <v>48</v>
      </c>
      <c r="AF87" s="11">
        <v>7340</v>
      </c>
      <c r="AG87" s="11">
        <v>6660</v>
      </c>
      <c r="AH87" s="11">
        <v>25512</v>
      </c>
      <c r="AI87" s="11">
        <v>10464</v>
      </c>
      <c r="AJ87" s="11">
        <v>9194</v>
      </c>
      <c r="AK87" s="11">
        <v>5854</v>
      </c>
      <c r="AL87" s="11">
        <v>7872</v>
      </c>
      <c r="AM87" s="11">
        <v>5174</v>
      </c>
      <c r="AN87" s="18">
        <v>151876</v>
      </c>
    </row>
    <row r="88" spans="3:40" ht="21.5" thickTop="1" thickBot="1">
      <c r="K88" s="25" t="s">
        <v>69</v>
      </c>
    </row>
    <row r="89" spans="3:40" ht="17.5" thickTop="1">
      <c r="K89" s="595" t="s">
        <v>49</v>
      </c>
      <c r="L89" s="587" t="s">
        <v>50</v>
      </c>
      <c r="M89" s="597"/>
      <c r="N89" s="587" t="s">
        <v>51</v>
      </c>
      <c r="O89" s="597"/>
      <c r="P89" s="587" t="s">
        <v>52</v>
      </c>
      <c r="Q89" s="597"/>
      <c r="R89" s="587" t="s">
        <v>53</v>
      </c>
      <c r="S89" s="588"/>
      <c r="T89" s="589"/>
    </row>
    <row r="90" spans="3:40" ht="17.5" thickBot="1">
      <c r="K90" s="596"/>
      <c r="L90" s="27" t="s">
        <v>40</v>
      </c>
      <c r="M90" s="27" t="s">
        <v>41</v>
      </c>
      <c r="N90" s="27" t="s">
        <v>40</v>
      </c>
      <c r="O90" s="27" t="s">
        <v>41</v>
      </c>
      <c r="P90" s="27" t="s">
        <v>40</v>
      </c>
      <c r="Q90" s="27" t="s">
        <v>41</v>
      </c>
      <c r="R90" s="27" t="s">
        <v>40</v>
      </c>
      <c r="S90" s="27" t="s">
        <v>41</v>
      </c>
      <c r="T90" s="28" t="s">
        <v>21</v>
      </c>
    </row>
    <row r="91" spans="3:40" ht="17.5" thickTop="1">
      <c r="K91" s="22" t="s">
        <v>54</v>
      </c>
      <c r="L91" s="6">
        <v>15</v>
      </c>
      <c r="M91" s="6">
        <v>15</v>
      </c>
      <c r="N91" s="6">
        <v>8</v>
      </c>
      <c r="O91" s="6">
        <v>8</v>
      </c>
      <c r="P91" s="6">
        <v>16</v>
      </c>
      <c r="Q91" s="6">
        <v>16</v>
      </c>
      <c r="R91" s="6">
        <v>39</v>
      </c>
      <c r="S91" s="6">
        <v>39</v>
      </c>
      <c r="T91" s="7">
        <v>78</v>
      </c>
    </row>
    <row r="92" spans="3:40">
      <c r="K92" s="23" t="s">
        <v>55</v>
      </c>
      <c r="L92" s="9">
        <v>17</v>
      </c>
      <c r="M92" s="9">
        <v>17</v>
      </c>
      <c r="N92" s="9">
        <v>9</v>
      </c>
      <c r="O92" s="9">
        <v>9</v>
      </c>
      <c r="P92" s="9">
        <v>18</v>
      </c>
      <c r="Q92" s="9">
        <v>18</v>
      </c>
      <c r="R92" s="9">
        <v>44</v>
      </c>
      <c r="S92" s="9">
        <v>44</v>
      </c>
      <c r="T92" s="10">
        <v>88</v>
      </c>
    </row>
    <row r="93" spans="3:40">
      <c r="K93" s="23" t="s">
        <v>56</v>
      </c>
      <c r="L93" s="9">
        <v>17</v>
      </c>
      <c r="M93" s="9">
        <v>17</v>
      </c>
      <c r="N93" s="9">
        <v>9</v>
      </c>
      <c r="O93" s="9">
        <v>9</v>
      </c>
      <c r="P93" s="9">
        <v>18</v>
      </c>
      <c r="Q93" s="9">
        <v>18</v>
      </c>
      <c r="R93" s="9">
        <v>44</v>
      </c>
      <c r="S93" s="9">
        <v>44</v>
      </c>
      <c r="T93" s="10">
        <v>88</v>
      </c>
    </row>
    <row r="94" spans="3:40">
      <c r="K94" s="23" t="s">
        <v>57</v>
      </c>
      <c r="L94" s="9">
        <v>60</v>
      </c>
      <c r="M94" s="9">
        <v>60</v>
      </c>
      <c r="N94" s="9">
        <v>33</v>
      </c>
      <c r="O94" s="9">
        <v>33</v>
      </c>
      <c r="P94" s="9">
        <v>65</v>
      </c>
      <c r="Q94" s="9">
        <v>65</v>
      </c>
      <c r="R94" s="9">
        <v>158</v>
      </c>
      <c r="S94" s="9">
        <v>158</v>
      </c>
      <c r="T94" s="10">
        <v>316</v>
      </c>
    </row>
    <row r="95" spans="3:40">
      <c r="K95" s="23" t="s">
        <v>58</v>
      </c>
      <c r="L95" s="9">
        <v>103</v>
      </c>
      <c r="M95" s="9">
        <v>103</v>
      </c>
      <c r="N95" s="9">
        <v>56</v>
      </c>
      <c r="O95" s="9">
        <v>56</v>
      </c>
      <c r="P95" s="9">
        <v>112</v>
      </c>
      <c r="Q95" s="9">
        <v>112</v>
      </c>
      <c r="R95" s="9">
        <v>271</v>
      </c>
      <c r="S95" s="9">
        <v>271</v>
      </c>
      <c r="T95" s="10">
        <v>542</v>
      </c>
    </row>
    <row r="96" spans="3:40">
      <c r="K96" s="23" t="s">
        <v>59</v>
      </c>
      <c r="L96" s="9">
        <v>94</v>
      </c>
      <c r="M96" s="9">
        <v>94</v>
      </c>
      <c r="N96" s="9">
        <v>52</v>
      </c>
      <c r="O96" s="9">
        <v>52</v>
      </c>
      <c r="P96" s="9">
        <v>103</v>
      </c>
      <c r="Q96" s="9">
        <v>103</v>
      </c>
      <c r="R96" s="9">
        <v>249</v>
      </c>
      <c r="S96" s="9">
        <v>249</v>
      </c>
      <c r="T96" s="10">
        <v>498</v>
      </c>
    </row>
    <row r="97" spans="11:20">
      <c r="K97" s="23" t="s">
        <v>60</v>
      </c>
      <c r="L97" s="9">
        <v>26</v>
      </c>
      <c r="M97" s="9">
        <v>26</v>
      </c>
      <c r="N97" s="9">
        <v>14</v>
      </c>
      <c r="O97" s="9">
        <v>14</v>
      </c>
      <c r="P97" s="9">
        <v>28</v>
      </c>
      <c r="Q97" s="9">
        <v>28</v>
      </c>
      <c r="R97" s="9">
        <v>68</v>
      </c>
      <c r="S97" s="9">
        <v>68</v>
      </c>
      <c r="T97" s="10">
        <v>136</v>
      </c>
    </row>
    <row r="98" spans="11:20">
      <c r="K98" s="23" t="s">
        <v>61</v>
      </c>
      <c r="L98" s="9">
        <v>69</v>
      </c>
      <c r="M98" s="9">
        <v>69</v>
      </c>
      <c r="N98" s="9">
        <v>38</v>
      </c>
      <c r="O98" s="9">
        <v>38</v>
      </c>
      <c r="P98" s="9">
        <v>74</v>
      </c>
      <c r="Q98" s="9">
        <v>74</v>
      </c>
      <c r="R98" s="9">
        <v>181</v>
      </c>
      <c r="S98" s="9">
        <v>181</v>
      </c>
      <c r="T98" s="10">
        <v>362</v>
      </c>
    </row>
    <row r="99" spans="11:20">
      <c r="K99" s="23" t="s">
        <v>62</v>
      </c>
      <c r="L99" s="9">
        <v>60</v>
      </c>
      <c r="M99" s="9">
        <v>60</v>
      </c>
      <c r="N99" s="9">
        <v>33</v>
      </c>
      <c r="O99" s="9">
        <v>33</v>
      </c>
      <c r="P99" s="9">
        <v>65</v>
      </c>
      <c r="Q99" s="9">
        <v>65</v>
      </c>
      <c r="R99" s="9">
        <v>158</v>
      </c>
      <c r="S99" s="9">
        <v>158</v>
      </c>
      <c r="T99" s="10">
        <v>316</v>
      </c>
    </row>
    <row r="100" spans="11:20">
      <c r="K100" s="23" t="s">
        <v>63</v>
      </c>
      <c r="L100" s="9">
        <v>69</v>
      </c>
      <c r="M100" s="9">
        <v>69</v>
      </c>
      <c r="N100" s="9">
        <v>38</v>
      </c>
      <c r="O100" s="9">
        <v>38</v>
      </c>
      <c r="P100" s="9">
        <v>74</v>
      </c>
      <c r="Q100" s="9">
        <v>74</v>
      </c>
      <c r="R100" s="9">
        <v>181</v>
      </c>
      <c r="S100" s="9">
        <v>181</v>
      </c>
      <c r="T100" s="10">
        <v>362</v>
      </c>
    </row>
    <row r="101" spans="11:20">
      <c r="K101" s="23" t="s">
        <v>64</v>
      </c>
      <c r="L101" s="9">
        <v>77</v>
      </c>
      <c r="M101" s="9">
        <v>77</v>
      </c>
      <c r="N101" s="9">
        <v>42</v>
      </c>
      <c r="O101" s="9">
        <v>42</v>
      </c>
      <c r="P101" s="9">
        <v>84</v>
      </c>
      <c r="Q101" s="9">
        <v>84</v>
      </c>
      <c r="R101" s="9">
        <v>203</v>
      </c>
      <c r="S101" s="9">
        <v>203</v>
      </c>
      <c r="T101" s="10">
        <v>406</v>
      </c>
    </row>
    <row r="102" spans="11:20">
      <c r="K102" s="23" t="s">
        <v>65</v>
      </c>
      <c r="L102" s="9">
        <v>77</v>
      </c>
      <c r="M102" s="9">
        <v>77</v>
      </c>
      <c r="N102" s="9">
        <v>42</v>
      </c>
      <c r="O102" s="9">
        <v>42</v>
      </c>
      <c r="P102" s="9">
        <v>84</v>
      </c>
      <c r="Q102" s="9">
        <v>84</v>
      </c>
      <c r="R102" s="9">
        <v>203</v>
      </c>
      <c r="S102" s="9">
        <v>203</v>
      </c>
      <c r="T102" s="10">
        <v>406</v>
      </c>
    </row>
    <row r="103" spans="11:20">
      <c r="K103" s="23" t="s">
        <v>66</v>
      </c>
      <c r="L103" s="9">
        <v>43</v>
      </c>
      <c r="M103" s="9">
        <v>43</v>
      </c>
      <c r="N103" s="9">
        <v>24</v>
      </c>
      <c r="O103" s="9">
        <v>24</v>
      </c>
      <c r="P103" s="9">
        <v>47</v>
      </c>
      <c r="Q103" s="9">
        <v>47</v>
      </c>
      <c r="R103" s="9">
        <v>114</v>
      </c>
      <c r="S103" s="9">
        <v>114</v>
      </c>
      <c r="T103" s="10">
        <v>228</v>
      </c>
    </row>
    <row r="104" spans="11:20">
      <c r="K104" s="23" t="s">
        <v>67</v>
      </c>
      <c r="L104" s="9">
        <v>9</v>
      </c>
      <c r="M104" s="9">
        <v>9</v>
      </c>
      <c r="N104" s="9">
        <v>5</v>
      </c>
      <c r="O104" s="9">
        <v>5</v>
      </c>
      <c r="P104" s="9">
        <v>10</v>
      </c>
      <c r="Q104" s="9">
        <v>10</v>
      </c>
      <c r="R104" s="9">
        <v>24</v>
      </c>
      <c r="S104" s="9">
        <v>24</v>
      </c>
      <c r="T104" s="10">
        <v>48</v>
      </c>
    </row>
    <row r="105" spans="11:20">
      <c r="K105" s="23" t="s">
        <v>68</v>
      </c>
      <c r="L105" s="9">
        <v>1</v>
      </c>
      <c r="M105" s="9">
        <v>1</v>
      </c>
      <c r="N105" s="9">
        <v>1</v>
      </c>
      <c r="O105" s="9">
        <v>1</v>
      </c>
      <c r="P105" s="9">
        <v>1</v>
      </c>
      <c r="Q105" s="9">
        <v>1</v>
      </c>
      <c r="R105" s="9">
        <v>3</v>
      </c>
      <c r="S105" s="9">
        <v>3</v>
      </c>
      <c r="T105" s="10">
        <v>6</v>
      </c>
    </row>
    <row r="106" spans="11:20">
      <c r="K106" s="23" t="s">
        <v>42</v>
      </c>
      <c r="L106" s="9">
        <v>1</v>
      </c>
      <c r="M106" s="9">
        <v>1</v>
      </c>
      <c r="N106" s="9">
        <v>0</v>
      </c>
      <c r="O106" s="9">
        <v>0</v>
      </c>
      <c r="P106" s="9">
        <v>1</v>
      </c>
      <c r="Q106" s="9">
        <v>1</v>
      </c>
      <c r="R106" s="9">
        <v>2</v>
      </c>
      <c r="S106" s="9">
        <v>2</v>
      </c>
      <c r="T106" s="10">
        <v>4</v>
      </c>
    </row>
    <row r="107" spans="11:20" ht="17.5" thickBot="1">
      <c r="K107" s="24" t="s">
        <v>11</v>
      </c>
      <c r="L107" s="29">
        <v>738</v>
      </c>
      <c r="M107" s="29">
        <v>738</v>
      </c>
      <c r="N107" s="29">
        <v>404</v>
      </c>
      <c r="O107" s="29">
        <v>404</v>
      </c>
      <c r="P107" s="29">
        <v>800</v>
      </c>
      <c r="Q107" s="29">
        <v>800</v>
      </c>
      <c r="R107" s="30">
        <v>1942</v>
      </c>
      <c r="S107" s="30">
        <v>1942</v>
      </c>
      <c r="T107" s="31">
        <v>3884</v>
      </c>
    </row>
    <row r="108" spans="11:20" ht="17.5" thickTop="1"/>
  </sheetData>
  <mergeCells count="112">
    <mergeCell ref="M60:M61"/>
    <mergeCell ref="C83:D83"/>
    <mergeCell ref="C84:D84"/>
    <mergeCell ref="C85:D85"/>
    <mergeCell ref="C72:D72"/>
    <mergeCell ref="M72:N72"/>
    <mergeCell ref="M73:N73"/>
    <mergeCell ref="M74:N74"/>
    <mergeCell ref="M75:N75"/>
    <mergeCell ref="M76:N76"/>
    <mergeCell ref="M77:N77"/>
    <mergeCell ref="M83:N83"/>
    <mergeCell ref="M84:N84"/>
    <mergeCell ref="M78:N78"/>
    <mergeCell ref="M85:N85"/>
    <mergeCell ref="C74:D74"/>
    <mergeCell ref="C75:D75"/>
    <mergeCell ref="C76:D76"/>
    <mergeCell ref="C77:D77"/>
    <mergeCell ref="C78:D78"/>
    <mergeCell ref="C73:D73"/>
    <mergeCell ref="L62:M63"/>
    <mergeCell ref="B52:C53"/>
    <mergeCell ref="B43:C43"/>
    <mergeCell ref="B54:C55"/>
    <mergeCell ref="B46:C47"/>
    <mergeCell ref="B44:C45"/>
    <mergeCell ref="B48:C49"/>
    <mergeCell ref="B50:C51"/>
    <mergeCell ref="L64:M65"/>
    <mergeCell ref="B62:C63"/>
    <mergeCell ref="B64:C65"/>
    <mergeCell ref="C58:C59"/>
    <mergeCell ref="C56:C57"/>
    <mergeCell ref="C60:C61"/>
    <mergeCell ref="B56:B61"/>
    <mergeCell ref="L43:M43"/>
    <mergeCell ref="L44:M45"/>
    <mergeCell ref="L46:M47"/>
    <mergeCell ref="L48:M49"/>
    <mergeCell ref="L50:M51"/>
    <mergeCell ref="L52:M53"/>
    <mergeCell ref="L54:M55"/>
    <mergeCell ref="L56:L61"/>
    <mergeCell ref="M56:M57"/>
    <mergeCell ref="M58:M59"/>
    <mergeCell ref="A20:B20"/>
    <mergeCell ref="A21:B21"/>
    <mergeCell ref="A25:B27"/>
    <mergeCell ref="D25:I25"/>
    <mergeCell ref="D26:F26"/>
    <mergeCell ref="G26:I26"/>
    <mergeCell ref="S6:T6"/>
    <mergeCell ref="S7:S10"/>
    <mergeCell ref="S11:S12"/>
    <mergeCell ref="S13:S14"/>
    <mergeCell ref="A19:B19"/>
    <mergeCell ref="A6:B8"/>
    <mergeCell ref="D6:E6"/>
    <mergeCell ref="D7:E7"/>
    <mergeCell ref="F6:H6"/>
    <mergeCell ref="F7:H7"/>
    <mergeCell ref="A9:B9"/>
    <mergeCell ref="A10:B10"/>
    <mergeCell ref="A11:B11"/>
    <mergeCell ref="A12:B12"/>
    <mergeCell ref="A13:B13"/>
    <mergeCell ref="A14:B14"/>
    <mergeCell ref="K25:L27"/>
    <mergeCell ref="S15:S16"/>
    <mergeCell ref="R89:T89"/>
    <mergeCell ref="K89:K90"/>
    <mergeCell ref="L89:M89"/>
    <mergeCell ref="N89:O89"/>
    <mergeCell ref="P89:Q89"/>
    <mergeCell ref="A38:B38"/>
    <mergeCell ref="A39:B39"/>
    <mergeCell ref="A40:B40"/>
    <mergeCell ref="A28:B28"/>
    <mergeCell ref="A29:B29"/>
    <mergeCell ref="A30:B30"/>
    <mergeCell ref="A31:B31"/>
    <mergeCell ref="A32:B32"/>
    <mergeCell ref="A33:B33"/>
    <mergeCell ref="E44:I45"/>
    <mergeCell ref="O44:R45"/>
    <mergeCell ref="K28:L28"/>
    <mergeCell ref="K29:L29"/>
    <mergeCell ref="K30:L30"/>
    <mergeCell ref="K31:L31"/>
    <mergeCell ref="K32:L32"/>
    <mergeCell ref="K33:L33"/>
    <mergeCell ref="K38:L38"/>
    <mergeCell ref="K39:L39"/>
    <mergeCell ref="K40:L40"/>
    <mergeCell ref="AF7:AG9"/>
    <mergeCell ref="AI7:AN7"/>
    <mergeCell ref="AI8:AK8"/>
    <mergeCell ref="AL8:AN8"/>
    <mergeCell ref="AF10:AG10"/>
    <mergeCell ref="AF11:AG11"/>
    <mergeCell ref="AF12:AG12"/>
    <mergeCell ref="AF13:AG13"/>
    <mergeCell ref="AF14:AG14"/>
    <mergeCell ref="AF15:AG15"/>
    <mergeCell ref="AF20:AG20"/>
    <mergeCell ref="AF21:AG21"/>
    <mergeCell ref="AF22:AG22"/>
    <mergeCell ref="S17:S18"/>
    <mergeCell ref="N25:S25"/>
    <mergeCell ref="N26:P26"/>
    <mergeCell ref="Q26:S26"/>
  </mergeCells>
  <phoneticPr fontId="2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109"/>
  <sheetViews>
    <sheetView zoomScale="85" zoomScaleNormal="85" workbookViewId="0">
      <selection activeCell="AA46" sqref="AA46"/>
    </sheetView>
  </sheetViews>
  <sheetFormatPr defaultRowHeight="17"/>
  <cols>
    <col min="20" max="20" width="11.5" customWidth="1"/>
  </cols>
  <sheetData>
    <row r="1" spans="1:8">
      <c r="A1" t="s">
        <v>154</v>
      </c>
    </row>
    <row r="2" spans="1:8">
      <c r="A2" t="s">
        <v>153</v>
      </c>
      <c r="B2" t="s">
        <v>152</v>
      </c>
    </row>
    <row r="4" spans="1:8">
      <c r="B4" t="s">
        <v>192</v>
      </c>
      <c r="G4" t="s">
        <v>194</v>
      </c>
    </row>
    <row r="5" spans="1:8" ht="17.5" thickBot="1">
      <c r="B5" t="s">
        <v>172</v>
      </c>
      <c r="G5" t="s">
        <v>193</v>
      </c>
    </row>
    <row r="6" spans="1:8" ht="17.5" thickTop="1">
      <c r="B6" s="543" t="s">
        <v>39</v>
      </c>
      <c r="C6" s="544"/>
      <c r="D6" s="547" t="s">
        <v>163</v>
      </c>
      <c r="E6" s="548"/>
      <c r="G6" s="32" t="s">
        <v>189</v>
      </c>
    </row>
    <row r="7" spans="1:8" ht="17.5" thickBot="1">
      <c r="B7" s="545"/>
      <c r="C7" s="546"/>
      <c r="D7" s="36" t="s">
        <v>156</v>
      </c>
      <c r="E7" s="37" t="s">
        <v>157</v>
      </c>
      <c r="H7" t="s">
        <v>191</v>
      </c>
    </row>
    <row r="8" spans="1:8" ht="17.5" thickTop="1">
      <c r="B8" s="549" t="s">
        <v>164</v>
      </c>
      <c r="C8" s="44" t="s">
        <v>165</v>
      </c>
      <c r="D8" s="44">
        <v>1.59</v>
      </c>
      <c r="E8" s="45">
        <v>1.7</v>
      </c>
      <c r="G8" t="s">
        <v>190</v>
      </c>
      <c r="H8">
        <v>11.58</v>
      </c>
    </row>
    <row r="9" spans="1:8">
      <c r="B9" s="536"/>
      <c r="C9" s="46" t="s">
        <v>166</v>
      </c>
      <c r="D9" s="46">
        <v>1.59</v>
      </c>
      <c r="E9" s="47">
        <v>1.7</v>
      </c>
    </row>
    <row r="10" spans="1:8">
      <c r="B10" s="535" t="s">
        <v>13</v>
      </c>
      <c r="C10" s="46" t="s">
        <v>9</v>
      </c>
      <c r="D10" s="46">
        <v>1.38</v>
      </c>
      <c r="E10" s="47">
        <v>1.48</v>
      </c>
    </row>
    <row r="11" spans="1:8">
      <c r="B11" s="536"/>
      <c r="C11" s="46" t="s">
        <v>10</v>
      </c>
      <c r="D11" s="46">
        <v>1.6</v>
      </c>
      <c r="E11" s="47">
        <v>1.56</v>
      </c>
    </row>
    <row r="12" spans="1:8">
      <c r="B12" s="535" t="s">
        <v>167</v>
      </c>
      <c r="C12" s="46" t="s">
        <v>9</v>
      </c>
      <c r="D12" s="46">
        <v>1.25</v>
      </c>
      <c r="E12" s="47">
        <v>1.25</v>
      </c>
    </row>
    <row r="13" spans="1:8">
      <c r="B13" s="536"/>
      <c r="C13" s="46" t="s">
        <v>10</v>
      </c>
      <c r="D13" s="46">
        <v>1.47</v>
      </c>
      <c r="E13" s="47">
        <v>1.73</v>
      </c>
    </row>
    <row r="14" spans="1:8">
      <c r="B14" s="535" t="s">
        <v>168</v>
      </c>
      <c r="C14" s="46" t="s">
        <v>9</v>
      </c>
      <c r="D14" s="46">
        <v>1.35</v>
      </c>
      <c r="E14" s="47">
        <v>1.4</v>
      </c>
    </row>
    <row r="15" spans="1:8">
      <c r="B15" s="536"/>
      <c r="C15" s="46" t="s">
        <v>10</v>
      </c>
      <c r="D15" s="46">
        <v>1.6</v>
      </c>
      <c r="E15" s="47">
        <v>1.73</v>
      </c>
    </row>
    <row r="16" spans="1:8">
      <c r="B16" s="535" t="s">
        <v>47</v>
      </c>
      <c r="C16" s="46" t="s">
        <v>9</v>
      </c>
      <c r="D16" s="46">
        <v>1.33</v>
      </c>
      <c r="E16" s="47">
        <v>1.55</v>
      </c>
    </row>
    <row r="17" spans="1:29">
      <c r="B17" s="536"/>
      <c r="C17" s="46" t="s">
        <v>10</v>
      </c>
      <c r="D17" s="46">
        <v>1.43</v>
      </c>
      <c r="E17" s="47">
        <v>1.54</v>
      </c>
    </row>
    <row r="18" spans="1:29">
      <c r="B18" s="535" t="s">
        <v>169</v>
      </c>
      <c r="C18" s="46" t="s">
        <v>9</v>
      </c>
      <c r="D18" s="46">
        <v>1.33</v>
      </c>
      <c r="E18" s="47">
        <v>1.55</v>
      </c>
    </row>
    <row r="19" spans="1:29">
      <c r="B19" s="536"/>
      <c r="C19" s="46" t="s">
        <v>10</v>
      </c>
      <c r="D19" s="46">
        <v>1.43</v>
      </c>
      <c r="E19" s="47">
        <v>1.54</v>
      </c>
    </row>
    <row r="20" spans="1:29">
      <c r="B20" s="535" t="s">
        <v>170</v>
      </c>
      <c r="C20" s="46" t="s">
        <v>9</v>
      </c>
      <c r="D20" s="46">
        <v>1.33</v>
      </c>
      <c r="E20" s="47">
        <v>1.55</v>
      </c>
    </row>
    <row r="21" spans="1:29">
      <c r="B21" s="536"/>
      <c r="C21" s="46" t="s">
        <v>10</v>
      </c>
      <c r="D21" s="46">
        <v>1.43</v>
      </c>
      <c r="E21" s="47">
        <v>1.54</v>
      </c>
    </row>
    <row r="22" spans="1:29">
      <c r="B22" s="535" t="s">
        <v>171</v>
      </c>
      <c r="C22" s="46" t="s">
        <v>9</v>
      </c>
      <c r="D22" s="46">
        <v>1.27</v>
      </c>
      <c r="E22" s="47">
        <v>1.35</v>
      </c>
      <c r="U22" s="34"/>
      <c r="V22" t="s">
        <v>233</v>
      </c>
    </row>
    <row r="23" spans="1:29" ht="17.5" thickBot="1">
      <c r="B23" s="537"/>
      <c r="C23" s="48" t="s">
        <v>10</v>
      </c>
      <c r="D23" s="48">
        <v>1.27</v>
      </c>
      <c r="E23" s="49">
        <v>1.35</v>
      </c>
    </row>
    <row r="24" spans="1:29" ht="17.5" thickTop="1">
      <c r="A24" t="s">
        <v>214</v>
      </c>
      <c r="B24" s="56"/>
      <c r="C24" s="56"/>
      <c r="D24" s="56"/>
      <c r="E24" s="56"/>
      <c r="P24" t="s">
        <v>213</v>
      </c>
    </row>
    <row r="25" spans="1:29">
      <c r="A25" t="s">
        <v>195</v>
      </c>
      <c r="L25" s="64" t="s">
        <v>196</v>
      </c>
      <c r="O25" t="s">
        <v>215</v>
      </c>
      <c r="P25" t="s">
        <v>212</v>
      </c>
    </row>
    <row r="26" spans="1:29">
      <c r="AA26" t="s">
        <v>216</v>
      </c>
      <c r="AB26" t="s">
        <v>148</v>
      </c>
      <c r="AC26" s="32" t="s">
        <v>74</v>
      </c>
    </row>
    <row r="27" spans="1:29">
      <c r="C27" s="550" t="s">
        <v>156</v>
      </c>
      <c r="D27" s="551"/>
      <c r="E27" s="550" t="s">
        <v>157</v>
      </c>
      <c r="F27" s="551"/>
      <c r="G27" s="550" t="s">
        <v>158</v>
      </c>
      <c r="H27" s="551"/>
      <c r="I27" s="550" t="s">
        <v>159</v>
      </c>
      <c r="J27" s="551"/>
      <c r="K27" s="550" t="s">
        <v>160</v>
      </c>
      <c r="L27" s="552"/>
      <c r="M27" s="552"/>
      <c r="P27" s="654" t="s">
        <v>156</v>
      </c>
      <c r="Q27" s="654"/>
      <c r="R27" s="654" t="s">
        <v>174</v>
      </c>
      <c r="S27" s="654"/>
      <c r="T27" s="550" t="s">
        <v>158</v>
      </c>
      <c r="U27" s="551"/>
      <c r="V27" s="654" t="s">
        <v>160</v>
      </c>
      <c r="W27" s="654"/>
      <c r="X27" s="654"/>
      <c r="AA27" t="s">
        <v>202</v>
      </c>
      <c r="AB27" t="s">
        <v>73</v>
      </c>
      <c r="AC27" s="75">
        <v>14267.0414</v>
      </c>
    </row>
    <row r="28" spans="1:29">
      <c r="A28" t="s">
        <v>34</v>
      </c>
      <c r="B28" t="s">
        <v>148</v>
      </c>
      <c r="C28" s="66" t="s">
        <v>40</v>
      </c>
      <c r="D28" s="66" t="s">
        <v>41</v>
      </c>
      <c r="E28" s="66" t="s">
        <v>40</v>
      </c>
      <c r="F28" s="66" t="s">
        <v>41</v>
      </c>
      <c r="G28" s="66" t="s">
        <v>40</v>
      </c>
      <c r="H28" s="66" t="s">
        <v>41</v>
      </c>
      <c r="I28" s="66" t="s">
        <v>40</v>
      </c>
      <c r="J28" s="66" t="s">
        <v>41</v>
      </c>
      <c r="K28" s="66" t="s">
        <v>40</v>
      </c>
      <c r="L28" s="66" t="s">
        <v>41</v>
      </c>
      <c r="M28" s="67" t="s">
        <v>21</v>
      </c>
      <c r="P28" s="73" t="s">
        <v>40</v>
      </c>
      <c r="Q28" s="73" t="s">
        <v>41</v>
      </c>
      <c r="R28" s="73" t="s">
        <v>40</v>
      </c>
      <c r="S28" s="73" t="s">
        <v>41</v>
      </c>
      <c r="T28" s="66" t="s">
        <v>40</v>
      </c>
      <c r="U28" s="66" t="s">
        <v>41</v>
      </c>
      <c r="V28" s="73" t="s">
        <v>40</v>
      </c>
      <c r="W28" s="73" t="s">
        <v>41</v>
      </c>
      <c r="X28" s="73" t="s">
        <v>21</v>
      </c>
      <c r="AA28" t="s">
        <v>202</v>
      </c>
      <c r="AB28" t="s">
        <v>217</v>
      </c>
      <c r="AC28" s="75">
        <v>15857.7047</v>
      </c>
    </row>
    <row r="29" spans="1:29">
      <c r="A29" t="s">
        <v>197</v>
      </c>
      <c r="B29" t="s">
        <v>198</v>
      </c>
      <c r="C29" s="70">
        <v>998</v>
      </c>
      <c r="D29" s="70">
        <v>998</v>
      </c>
      <c r="E29" s="70">
        <v>222</v>
      </c>
      <c r="F29" s="70">
        <v>222</v>
      </c>
      <c r="G29" s="71">
        <v>1429</v>
      </c>
      <c r="H29" s="71">
        <v>1429</v>
      </c>
      <c r="I29" s="70">
        <v>870</v>
      </c>
      <c r="J29" s="70">
        <v>870</v>
      </c>
      <c r="K29" s="71">
        <v>3519</v>
      </c>
      <c r="L29" s="71">
        <v>3519</v>
      </c>
      <c r="M29" s="71">
        <v>7038</v>
      </c>
      <c r="P29" s="69">
        <v>629</v>
      </c>
      <c r="Q29" s="69">
        <v>629</v>
      </c>
      <c r="R29" s="69">
        <v>178</v>
      </c>
      <c r="S29" s="69">
        <v>178</v>
      </c>
      <c r="T29" s="74">
        <f>G29/$H$8</f>
        <v>123.40241796200345</v>
      </c>
      <c r="U29" s="74">
        <f t="shared" ref="U29:U33" si="0">H29/$H$8</f>
        <v>123.40241796200345</v>
      </c>
      <c r="V29" s="69">
        <v>807</v>
      </c>
      <c r="W29" s="69">
        <v>807</v>
      </c>
      <c r="X29" s="68">
        <v>1614</v>
      </c>
      <c r="AA29" t="s">
        <v>218</v>
      </c>
      <c r="AB29" t="s">
        <v>75</v>
      </c>
      <c r="AC29" s="75">
        <v>38657.855799999998</v>
      </c>
    </row>
    <row r="30" spans="1:29">
      <c r="A30" s="56" t="s">
        <v>197</v>
      </c>
      <c r="B30" s="20" t="s">
        <v>199</v>
      </c>
      <c r="C30" s="70">
        <v>992</v>
      </c>
      <c r="D30" s="70">
        <v>992</v>
      </c>
      <c r="E30" s="70">
        <v>221</v>
      </c>
      <c r="F30" s="70">
        <v>221</v>
      </c>
      <c r="G30" s="71">
        <v>1420</v>
      </c>
      <c r="H30" s="71">
        <v>1420</v>
      </c>
      <c r="I30" s="70">
        <v>865</v>
      </c>
      <c r="J30" s="70">
        <v>865</v>
      </c>
      <c r="K30" s="71">
        <v>3498</v>
      </c>
      <c r="L30" s="71">
        <v>3498</v>
      </c>
      <c r="M30" s="71">
        <v>6996</v>
      </c>
      <c r="P30" s="69">
        <v>624</v>
      </c>
      <c r="Q30" s="69">
        <v>624</v>
      </c>
      <c r="R30" s="69">
        <v>177</v>
      </c>
      <c r="S30" s="69">
        <v>177</v>
      </c>
      <c r="T30" s="74">
        <f t="shared" ref="T30:T33" si="1">G30/$H$8</f>
        <v>122.6252158894646</v>
      </c>
      <c r="U30" s="74">
        <f t="shared" si="0"/>
        <v>122.6252158894646</v>
      </c>
      <c r="V30" s="69">
        <v>801</v>
      </c>
      <c r="W30" s="69">
        <v>801</v>
      </c>
      <c r="X30" s="68">
        <v>1602</v>
      </c>
      <c r="AA30" t="s">
        <v>219</v>
      </c>
      <c r="AB30" t="s">
        <v>76</v>
      </c>
      <c r="AC30" s="75">
        <v>38408.5</v>
      </c>
    </row>
    <row r="31" spans="1:29">
      <c r="A31" t="s">
        <v>197</v>
      </c>
      <c r="B31" t="s">
        <v>200</v>
      </c>
      <c r="C31" s="70">
        <v>813</v>
      </c>
      <c r="D31" s="70">
        <v>813</v>
      </c>
      <c r="E31" s="70">
        <v>181</v>
      </c>
      <c r="F31" s="70">
        <v>181</v>
      </c>
      <c r="G31" s="71">
        <v>1164</v>
      </c>
      <c r="H31" s="71">
        <v>1164</v>
      </c>
      <c r="I31" s="70">
        <v>708</v>
      </c>
      <c r="J31" s="70">
        <v>708</v>
      </c>
      <c r="K31" s="71">
        <v>2866</v>
      </c>
      <c r="L31" s="71">
        <v>2866</v>
      </c>
      <c r="M31" s="71">
        <v>5732</v>
      </c>
      <c r="P31" s="69">
        <v>512</v>
      </c>
      <c r="Q31" s="69">
        <v>512</v>
      </c>
      <c r="R31" s="69">
        <v>144</v>
      </c>
      <c r="S31" s="69">
        <v>144</v>
      </c>
      <c r="T31" s="74">
        <f t="shared" si="1"/>
        <v>100.51813471502591</v>
      </c>
      <c r="U31" s="74">
        <f t="shared" si="0"/>
        <v>100.51813471502591</v>
      </c>
      <c r="V31" s="69">
        <v>656</v>
      </c>
      <c r="W31" s="69">
        <v>656</v>
      </c>
      <c r="X31" s="68">
        <v>1312</v>
      </c>
      <c r="AA31" t="s">
        <v>219</v>
      </c>
      <c r="AB31" t="s">
        <v>220</v>
      </c>
      <c r="AC31" s="75">
        <v>31514.0893</v>
      </c>
    </row>
    <row r="32" spans="1:29">
      <c r="A32" t="s">
        <v>197</v>
      </c>
      <c r="B32" t="s">
        <v>201</v>
      </c>
      <c r="C32" s="69">
        <v>829</v>
      </c>
      <c r="D32" s="69">
        <v>829</v>
      </c>
      <c r="E32" s="69">
        <v>185</v>
      </c>
      <c r="F32" s="69">
        <v>185</v>
      </c>
      <c r="G32" s="68">
        <v>1187</v>
      </c>
      <c r="H32" s="68">
        <v>1187</v>
      </c>
      <c r="I32" s="69">
        <v>722</v>
      </c>
      <c r="J32" s="69">
        <v>722</v>
      </c>
      <c r="K32" s="68">
        <v>2923</v>
      </c>
      <c r="L32" s="68">
        <v>2923</v>
      </c>
      <c r="M32" s="68">
        <v>5846</v>
      </c>
      <c r="P32" s="69">
        <v>521</v>
      </c>
      <c r="Q32" s="69">
        <v>521</v>
      </c>
      <c r="R32" s="69">
        <v>149</v>
      </c>
      <c r="S32" s="69">
        <v>149</v>
      </c>
      <c r="T32" s="74">
        <f t="shared" si="1"/>
        <v>102.50431778929187</v>
      </c>
      <c r="U32" s="74">
        <f t="shared" si="0"/>
        <v>102.50431778929187</v>
      </c>
      <c r="V32" s="69">
        <v>670</v>
      </c>
      <c r="W32" s="69">
        <v>670</v>
      </c>
      <c r="X32" s="68">
        <v>1340</v>
      </c>
      <c r="AA32" t="s">
        <v>219</v>
      </c>
      <c r="AB32" t="s">
        <v>221</v>
      </c>
      <c r="AC32" s="75">
        <v>32098.9882</v>
      </c>
    </row>
    <row r="33" spans="1:40">
      <c r="A33" t="s">
        <v>202</v>
      </c>
      <c r="C33" s="69">
        <v>104</v>
      </c>
      <c r="D33" s="69">
        <v>104</v>
      </c>
      <c r="E33" s="69">
        <v>22</v>
      </c>
      <c r="F33" s="69">
        <v>22</v>
      </c>
      <c r="G33" s="69">
        <v>146</v>
      </c>
      <c r="H33" s="69">
        <v>146</v>
      </c>
      <c r="I33" s="69">
        <v>90</v>
      </c>
      <c r="J33" s="69">
        <v>90</v>
      </c>
      <c r="K33" s="69">
        <v>362</v>
      </c>
      <c r="L33" s="69">
        <v>362</v>
      </c>
      <c r="M33" s="69">
        <v>724</v>
      </c>
      <c r="P33" s="69">
        <v>64</v>
      </c>
      <c r="Q33" s="69">
        <v>64</v>
      </c>
      <c r="R33" s="69">
        <v>18</v>
      </c>
      <c r="S33" s="69">
        <v>18</v>
      </c>
      <c r="T33" s="74">
        <f t="shared" si="1"/>
        <v>12.607944732297064</v>
      </c>
      <c r="U33" s="74">
        <f t="shared" si="0"/>
        <v>12.607944732297064</v>
      </c>
      <c r="V33" s="69">
        <v>82</v>
      </c>
      <c r="W33" s="69">
        <v>82</v>
      </c>
      <c r="X33" s="69">
        <v>164</v>
      </c>
      <c r="AA33" t="s">
        <v>207</v>
      </c>
      <c r="AB33" t="s">
        <v>222</v>
      </c>
      <c r="AC33" s="75">
        <v>63163.374600000003</v>
      </c>
    </row>
    <row r="34" spans="1:40">
      <c r="AA34" t="s">
        <v>207</v>
      </c>
      <c r="AB34" t="s">
        <v>79</v>
      </c>
      <c r="AC34" s="75">
        <v>36231.236499999999</v>
      </c>
    </row>
    <row r="35" spans="1:40">
      <c r="A35" t="s">
        <v>203</v>
      </c>
      <c r="L35" s="65" t="s">
        <v>204</v>
      </c>
      <c r="AA35" t="s">
        <v>207</v>
      </c>
      <c r="AB35" t="s">
        <v>223</v>
      </c>
      <c r="AC35" s="75">
        <v>69072.016600000003</v>
      </c>
    </row>
    <row r="36" spans="1:40">
      <c r="C36" s="550" t="s">
        <v>156</v>
      </c>
      <c r="D36" s="551"/>
      <c r="E36" s="550" t="s">
        <v>157</v>
      </c>
      <c r="F36" s="551"/>
      <c r="G36" s="550" t="s">
        <v>158</v>
      </c>
      <c r="H36" s="551"/>
      <c r="I36" s="550" t="s">
        <v>159</v>
      </c>
      <c r="J36" s="551"/>
      <c r="K36" s="550" t="s">
        <v>160</v>
      </c>
      <c r="L36" s="552"/>
      <c r="M36" s="552"/>
      <c r="P36" s="534" t="s">
        <v>156</v>
      </c>
      <c r="Q36" s="534"/>
      <c r="R36" s="534" t="s">
        <v>174</v>
      </c>
      <c r="S36" s="534"/>
      <c r="T36" s="550" t="s">
        <v>158</v>
      </c>
      <c r="U36" s="551"/>
      <c r="V36" s="534" t="s">
        <v>160</v>
      </c>
      <c r="W36" s="534"/>
      <c r="X36" s="534"/>
      <c r="AA36" t="s">
        <v>224</v>
      </c>
      <c r="AB36" t="s">
        <v>85</v>
      </c>
      <c r="AC36" s="75">
        <v>4861.8494000000001</v>
      </c>
    </row>
    <row r="37" spans="1:40">
      <c r="A37" t="s">
        <v>205</v>
      </c>
      <c r="C37" s="66" t="s">
        <v>40</v>
      </c>
      <c r="D37" s="66" t="s">
        <v>41</v>
      </c>
      <c r="E37" s="66" t="s">
        <v>40</v>
      </c>
      <c r="F37" s="66" t="s">
        <v>41</v>
      </c>
      <c r="G37" s="66" t="s">
        <v>40</v>
      </c>
      <c r="H37" s="66" t="s">
        <v>41</v>
      </c>
      <c r="I37" s="66" t="s">
        <v>40</v>
      </c>
      <c r="J37" s="66" t="s">
        <v>41</v>
      </c>
      <c r="K37" s="66" t="s">
        <v>40</v>
      </c>
      <c r="L37" s="66" t="s">
        <v>41</v>
      </c>
      <c r="M37" s="67" t="s">
        <v>21</v>
      </c>
      <c r="P37" s="72" t="s">
        <v>40</v>
      </c>
      <c r="Q37" s="72" t="s">
        <v>41</v>
      </c>
      <c r="R37" s="72" t="s">
        <v>40</v>
      </c>
      <c r="S37" s="72" t="s">
        <v>41</v>
      </c>
      <c r="T37" s="66" t="s">
        <v>40</v>
      </c>
      <c r="U37" s="66" t="s">
        <v>41</v>
      </c>
      <c r="V37" s="72" t="s">
        <v>40</v>
      </c>
      <c r="W37" s="72" t="s">
        <v>41</v>
      </c>
      <c r="X37" s="72" t="s">
        <v>21</v>
      </c>
      <c r="AA37" t="s">
        <v>224</v>
      </c>
      <c r="AB37" t="s">
        <v>81</v>
      </c>
      <c r="AC37" s="75">
        <v>2430.8498</v>
      </c>
    </row>
    <row r="38" spans="1:40">
      <c r="A38" t="s">
        <v>136</v>
      </c>
      <c r="C38" s="68">
        <v>1113</v>
      </c>
      <c r="D38" s="68">
        <v>1113</v>
      </c>
      <c r="E38" s="69">
        <v>149</v>
      </c>
      <c r="F38" s="69">
        <v>149</v>
      </c>
      <c r="G38" s="69">
        <v>902</v>
      </c>
      <c r="H38" s="69">
        <v>902</v>
      </c>
      <c r="I38" s="68">
        <v>1831</v>
      </c>
      <c r="J38" s="68">
        <v>1831</v>
      </c>
      <c r="K38" s="68">
        <v>3995</v>
      </c>
      <c r="L38" s="68">
        <v>3995</v>
      </c>
      <c r="M38" s="68">
        <v>7990</v>
      </c>
      <c r="P38" s="69">
        <v>704</v>
      </c>
      <c r="Q38" s="69">
        <v>704</v>
      </c>
      <c r="R38" s="69">
        <v>105</v>
      </c>
      <c r="S38" s="69">
        <v>105</v>
      </c>
      <c r="T38" s="74">
        <f t="shared" ref="T38:T44" si="2">G38/$H$8</f>
        <v>77.89291882556131</v>
      </c>
      <c r="U38" s="74">
        <f t="shared" ref="U38:U44" si="3">H38/$H$8</f>
        <v>77.89291882556131</v>
      </c>
      <c r="V38" s="69">
        <v>809</v>
      </c>
      <c r="W38" s="69">
        <v>809</v>
      </c>
      <c r="X38" s="68">
        <v>1618</v>
      </c>
      <c r="AA38" t="s">
        <v>224</v>
      </c>
      <c r="AB38" t="s">
        <v>82</v>
      </c>
      <c r="AC38" s="75">
        <v>2252.9902000000002</v>
      </c>
    </row>
    <row r="39" spans="1:40">
      <c r="A39" t="s">
        <v>206</v>
      </c>
      <c r="C39" s="68">
        <v>3252</v>
      </c>
      <c r="D39" s="68">
        <v>3252</v>
      </c>
      <c r="E39" s="69">
        <v>634</v>
      </c>
      <c r="F39" s="69">
        <v>634</v>
      </c>
      <c r="G39" s="68">
        <v>4005</v>
      </c>
      <c r="H39" s="68">
        <v>4005</v>
      </c>
      <c r="I39" s="68">
        <v>1525</v>
      </c>
      <c r="J39" s="68">
        <v>1525</v>
      </c>
      <c r="K39" s="68">
        <v>9416</v>
      </c>
      <c r="L39" s="68">
        <v>9416</v>
      </c>
      <c r="M39" s="68">
        <v>18832</v>
      </c>
      <c r="P39" s="68">
        <v>2258</v>
      </c>
      <c r="Q39" s="68">
        <v>2258</v>
      </c>
      <c r="R39" s="69">
        <v>459</v>
      </c>
      <c r="S39" s="69">
        <v>459</v>
      </c>
      <c r="T39" s="74">
        <f t="shared" si="2"/>
        <v>345.85492227979273</v>
      </c>
      <c r="U39" s="74">
        <f t="shared" si="3"/>
        <v>345.85492227979273</v>
      </c>
      <c r="V39" s="68">
        <v>2717</v>
      </c>
      <c r="W39" s="68">
        <v>2717</v>
      </c>
      <c r="X39" s="68">
        <v>5434</v>
      </c>
      <c r="AA39" t="s">
        <v>228</v>
      </c>
      <c r="AB39" t="s">
        <v>225</v>
      </c>
      <c r="AC39" s="75">
        <v>5756.5210999999999</v>
      </c>
    </row>
    <row r="40" spans="1:40">
      <c r="A40" t="s">
        <v>207</v>
      </c>
      <c r="C40" s="68">
        <v>4405</v>
      </c>
      <c r="D40" s="68">
        <v>4405</v>
      </c>
      <c r="E40" s="69">
        <v>982</v>
      </c>
      <c r="F40" s="69">
        <v>982</v>
      </c>
      <c r="G40" s="68">
        <v>7338</v>
      </c>
      <c r="H40" s="68">
        <v>7338</v>
      </c>
      <c r="I40" s="68">
        <v>1053</v>
      </c>
      <c r="J40" s="68">
        <v>1053</v>
      </c>
      <c r="K40" s="68">
        <v>13778</v>
      </c>
      <c r="L40" s="68">
        <v>13778</v>
      </c>
      <c r="M40" s="68">
        <v>27556</v>
      </c>
      <c r="P40" s="68">
        <v>2942</v>
      </c>
      <c r="Q40" s="68">
        <v>2942</v>
      </c>
      <c r="R40" s="69">
        <v>905</v>
      </c>
      <c r="S40" s="69">
        <v>905</v>
      </c>
      <c r="T40" s="74">
        <f t="shared" si="2"/>
        <v>633.67875647668393</v>
      </c>
      <c r="U40" s="74">
        <f t="shared" si="3"/>
        <v>633.67875647668393</v>
      </c>
      <c r="V40" s="68">
        <v>3847</v>
      </c>
      <c r="W40" s="68">
        <v>3847</v>
      </c>
      <c r="X40" s="68">
        <v>7694</v>
      </c>
      <c r="AA40" t="s">
        <v>228</v>
      </c>
      <c r="AB40" t="s">
        <v>226</v>
      </c>
      <c r="AC40" s="75">
        <v>5584.9350000000004</v>
      </c>
    </row>
    <row r="41" spans="1:40">
      <c r="A41" t="s">
        <v>208</v>
      </c>
      <c r="C41" s="68">
        <v>1194</v>
      </c>
      <c r="D41" s="68">
        <v>1194</v>
      </c>
      <c r="E41" s="69">
        <v>324</v>
      </c>
      <c r="F41" s="69">
        <v>324</v>
      </c>
      <c r="G41" s="68">
        <v>1204</v>
      </c>
      <c r="H41" s="68">
        <v>1204</v>
      </c>
      <c r="I41" s="69">
        <v>676</v>
      </c>
      <c r="J41" s="69">
        <v>676</v>
      </c>
      <c r="K41" s="68">
        <v>3398</v>
      </c>
      <c r="L41" s="68">
        <v>3398</v>
      </c>
      <c r="M41" s="68">
        <v>6796</v>
      </c>
      <c r="P41" s="69">
        <v>852</v>
      </c>
      <c r="Q41" s="69">
        <v>852</v>
      </c>
      <c r="R41" s="69">
        <v>278</v>
      </c>
      <c r="S41" s="69">
        <v>278</v>
      </c>
      <c r="T41" s="74">
        <f t="shared" si="2"/>
        <v>103.97236614853195</v>
      </c>
      <c r="U41" s="74">
        <f t="shared" si="3"/>
        <v>103.97236614853195</v>
      </c>
      <c r="V41" s="68">
        <v>1130</v>
      </c>
      <c r="W41" s="68">
        <v>1130</v>
      </c>
      <c r="X41" s="68">
        <v>2260</v>
      </c>
      <c r="AA41" t="s">
        <v>228</v>
      </c>
      <c r="AB41" t="s">
        <v>227</v>
      </c>
      <c r="AC41" s="75">
        <v>5424.4053999999996</v>
      </c>
      <c r="AK41" s="447" t="s">
        <v>279</v>
      </c>
      <c r="AL41" s="447"/>
      <c r="AM41" s="447"/>
      <c r="AN41" s="447"/>
    </row>
    <row r="42" spans="1:40">
      <c r="A42" t="s">
        <v>209</v>
      </c>
      <c r="C42" s="68">
        <v>2353</v>
      </c>
      <c r="D42" s="68">
        <v>2353</v>
      </c>
      <c r="E42" s="69">
        <v>560</v>
      </c>
      <c r="F42" s="69">
        <v>560</v>
      </c>
      <c r="G42" s="68">
        <v>2525</v>
      </c>
      <c r="H42" s="68">
        <v>2525</v>
      </c>
      <c r="I42" s="68">
        <v>2539</v>
      </c>
      <c r="J42" s="68">
        <v>2539</v>
      </c>
      <c r="K42" s="68">
        <v>7977</v>
      </c>
      <c r="L42" s="68">
        <v>7977</v>
      </c>
      <c r="M42" s="68">
        <v>15954</v>
      </c>
      <c r="P42" s="68">
        <v>1671</v>
      </c>
      <c r="Q42" s="68">
        <v>1671</v>
      </c>
      <c r="R42" s="69">
        <v>452</v>
      </c>
      <c r="S42" s="69">
        <v>452</v>
      </c>
      <c r="T42" s="74">
        <f t="shared" si="2"/>
        <v>218.04835924006909</v>
      </c>
      <c r="U42" s="74">
        <f t="shared" si="3"/>
        <v>218.04835924006909</v>
      </c>
      <c r="V42" s="68">
        <v>2123</v>
      </c>
      <c r="W42" s="68">
        <v>2123</v>
      </c>
      <c r="X42" s="68">
        <v>4246</v>
      </c>
      <c r="AA42" t="s">
        <v>229</v>
      </c>
      <c r="AB42" t="s">
        <v>102</v>
      </c>
      <c r="AC42" s="75">
        <v>28051.338899999999</v>
      </c>
      <c r="AK42" t="s">
        <v>280</v>
      </c>
      <c r="AL42" t="s">
        <v>281</v>
      </c>
      <c r="AM42" t="s">
        <v>282</v>
      </c>
      <c r="AN42" t="s">
        <v>283</v>
      </c>
    </row>
    <row r="43" spans="1:40">
      <c r="A43" t="s">
        <v>210</v>
      </c>
      <c r="C43" s="68">
        <v>4287</v>
      </c>
      <c r="D43" s="68">
        <v>4287</v>
      </c>
      <c r="E43" s="68">
        <v>1040</v>
      </c>
      <c r="F43" s="68">
        <v>1040</v>
      </c>
      <c r="G43" s="68">
        <v>4743</v>
      </c>
      <c r="H43" s="68">
        <v>4743</v>
      </c>
      <c r="I43" s="68">
        <v>4771</v>
      </c>
      <c r="J43" s="68">
        <v>4771</v>
      </c>
      <c r="K43" s="68">
        <v>14841</v>
      </c>
      <c r="L43" s="68">
        <v>14841</v>
      </c>
      <c r="M43" s="68">
        <v>29682</v>
      </c>
      <c r="P43" s="68">
        <v>3021</v>
      </c>
      <c r="Q43" s="68">
        <v>3021</v>
      </c>
      <c r="R43" s="69">
        <v>820</v>
      </c>
      <c r="S43" s="69">
        <v>820</v>
      </c>
      <c r="T43" s="74">
        <f t="shared" si="2"/>
        <v>409.58549222797927</v>
      </c>
      <c r="U43" s="74">
        <f t="shared" si="3"/>
        <v>409.58549222797927</v>
      </c>
      <c r="V43" s="68">
        <v>3841</v>
      </c>
      <c r="W43" s="68">
        <v>3841</v>
      </c>
      <c r="X43" s="68">
        <v>7682</v>
      </c>
      <c r="AA43" t="s">
        <v>230</v>
      </c>
      <c r="AB43" t="s">
        <v>105</v>
      </c>
      <c r="AC43" s="75">
        <v>15650.840399999999</v>
      </c>
      <c r="AK43">
        <v>263.28750000000002</v>
      </c>
      <c r="AL43">
        <v>263.14999999999998</v>
      </c>
      <c r="AM43">
        <v>658.34339999999997</v>
      </c>
      <c r="AN43">
        <v>649.94010000000003</v>
      </c>
    </row>
    <row r="44" spans="1:40">
      <c r="A44" t="s">
        <v>211</v>
      </c>
      <c r="C44" s="69">
        <v>24</v>
      </c>
      <c r="D44" s="69">
        <v>24</v>
      </c>
      <c r="E44" s="69">
        <v>2</v>
      </c>
      <c r="F44" s="69">
        <v>2</v>
      </c>
      <c r="G44" s="69">
        <v>33</v>
      </c>
      <c r="H44" s="69">
        <v>33</v>
      </c>
      <c r="I44" s="69">
        <v>30</v>
      </c>
      <c r="J44" s="69">
        <v>30</v>
      </c>
      <c r="K44" s="69">
        <v>89</v>
      </c>
      <c r="L44" s="69">
        <v>89</v>
      </c>
      <c r="M44" s="69">
        <v>178</v>
      </c>
      <c r="P44" s="69">
        <v>19</v>
      </c>
      <c r="Q44" s="69">
        <v>19</v>
      </c>
      <c r="R44" s="69">
        <v>4</v>
      </c>
      <c r="S44" s="69">
        <v>4</v>
      </c>
      <c r="T44" s="74">
        <f t="shared" si="2"/>
        <v>2.849740932642487</v>
      </c>
      <c r="U44" s="74">
        <f t="shared" si="3"/>
        <v>2.849740932642487</v>
      </c>
      <c r="V44" s="69">
        <v>23</v>
      </c>
      <c r="W44" s="69">
        <v>23</v>
      </c>
      <c r="X44" s="69">
        <v>46</v>
      </c>
      <c r="AA44" t="s">
        <v>230</v>
      </c>
      <c r="AB44" t="s">
        <v>106</v>
      </c>
      <c r="AC44" s="75">
        <v>3793.4029</v>
      </c>
      <c r="AK44">
        <v>263.15710000000001</v>
      </c>
      <c r="AL44">
        <v>263.3263</v>
      </c>
      <c r="AM44">
        <v>652.92409999999995</v>
      </c>
      <c r="AN44">
        <v>649.42539999999997</v>
      </c>
    </row>
    <row r="45" spans="1:40">
      <c r="AA45" t="s">
        <v>231</v>
      </c>
      <c r="AB45" t="s">
        <v>232</v>
      </c>
      <c r="AC45" s="75">
        <v>2617.3850000000002</v>
      </c>
      <c r="AK45">
        <v>263.78250000000003</v>
      </c>
      <c r="AL45">
        <v>263.52199999999999</v>
      </c>
      <c r="AM45">
        <v>655.89350000000002</v>
      </c>
      <c r="AN45">
        <v>647.83619999999996</v>
      </c>
    </row>
    <row r="46" spans="1:40">
      <c r="AA46" t="s">
        <v>231</v>
      </c>
      <c r="AB46" t="s">
        <v>126</v>
      </c>
      <c r="AC46" s="75">
        <v>3238.1246999999998</v>
      </c>
      <c r="AK46">
        <v>264.4948</v>
      </c>
      <c r="AL46">
        <v>264.25319999999999</v>
      </c>
      <c r="AM46">
        <v>650.22400000000005</v>
      </c>
      <c r="AN46">
        <v>646.25300000000004</v>
      </c>
    </row>
    <row r="47" spans="1:40">
      <c r="AK47">
        <v>264.38010000000003</v>
      </c>
      <c r="AL47">
        <v>265.44740000000002</v>
      </c>
      <c r="AN47">
        <v>644.66999999999996</v>
      </c>
    </row>
    <row r="48" spans="1:40">
      <c r="AK48">
        <v>264.01859999999999</v>
      </c>
      <c r="AL48">
        <v>265.53899999999999</v>
      </c>
    </row>
    <row r="49" spans="37:38">
      <c r="AK49">
        <v>264.45800000000003</v>
      </c>
      <c r="AL49">
        <v>265.59870000000001</v>
      </c>
    </row>
    <row r="50" spans="37:38">
      <c r="AK50">
        <v>264.3426</v>
      </c>
      <c r="AL50">
        <v>265.5573</v>
      </c>
    </row>
    <row r="51" spans="37:38">
      <c r="AK51">
        <v>264.30790000000002</v>
      </c>
      <c r="AL51">
        <v>265.53140000000002</v>
      </c>
    </row>
    <row r="52" spans="37:38">
      <c r="AK52">
        <v>264.80329999999998</v>
      </c>
      <c r="AL52">
        <v>265.53230000000002</v>
      </c>
    </row>
    <row r="53" spans="37:38">
      <c r="AK53">
        <v>264.80329999999998</v>
      </c>
      <c r="AL53">
        <v>265.58249999999998</v>
      </c>
    </row>
    <row r="54" spans="37:38">
      <c r="AK54">
        <v>264.80329999999998</v>
      </c>
      <c r="AL54">
        <v>265.4778</v>
      </c>
    </row>
    <row r="55" spans="37:38">
      <c r="AK55">
        <v>265.37630000000001</v>
      </c>
      <c r="AL55">
        <v>264.19540000000001</v>
      </c>
    </row>
    <row r="56" spans="37:38">
      <c r="AK56">
        <v>265.37630000000001</v>
      </c>
      <c r="AL56">
        <v>265.48930000000001</v>
      </c>
    </row>
    <row r="57" spans="37:38">
      <c r="AK57">
        <v>265.37630000000001</v>
      </c>
      <c r="AL57">
        <v>265.2303</v>
      </c>
    </row>
    <row r="58" spans="37:38">
      <c r="AK58">
        <v>263.63299999999998</v>
      </c>
      <c r="AL58">
        <v>264.9914</v>
      </c>
    </row>
    <row r="59" spans="37:38">
      <c r="AK59">
        <v>263.19029999999998</v>
      </c>
      <c r="AL59">
        <v>264.56079999999997</v>
      </c>
    </row>
    <row r="60" spans="37:38">
      <c r="AK60">
        <v>264.1825</v>
      </c>
      <c r="AL60">
        <v>265.35079999999999</v>
      </c>
    </row>
    <row r="61" spans="37:38">
      <c r="AK61">
        <v>263.05619999999999</v>
      </c>
      <c r="AL61">
        <v>265.38589999999999</v>
      </c>
    </row>
    <row r="62" spans="37:38">
      <c r="AK62">
        <v>263.01089999999999</v>
      </c>
      <c r="AL62">
        <v>265.15949999999998</v>
      </c>
    </row>
    <row r="63" spans="37:38">
      <c r="AK63">
        <v>264.36450000000002</v>
      </c>
      <c r="AL63">
        <v>265.40269999999998</v>
      </c>
    </row>
    <row r="64" spans="37:38">
      <c r="AK64">
        <v>263.18360000000001</v>
      </c>
      <c r="AL64">
        <v>265.25900000000001</v>
      </c>
    </row>
    <row r="65" spans="37:38">
      <c r="AK65">
        <v>263.02910000000003</v>
      </c>
      <c r="AL65">
        <v>265.23009999999999</v>
      </c>
    </row>
    <row r="66" spans="37:38">
      <c r="AK66">
        <v>263.04509999999999</v>
      </c>
      <c r="AL66">
        <v>265.24959999999999</v>
      </c>
    </row>
    <row r="67" spans="37:38">
      <c r="AK67">
        <v>263.1241</v>
      </c>
      <c r="AL67">
        <v>265.00060000000002</v>
      </c>
    </row>
    <row r="68" spans="37:38">
      <c r="AK68">
        <v>263.0609</v>
      </c>
      <c r="AL68">
        <v>263.95639999999997</v>
      </c>
    </row>
    <row r="69" spans="37:38">
      <c r="AK69">
        <v>263.26960000000003</v>
      </c>
      <c r="AL69">
        <v>263.35599999999999</v>
      </c>
    </row>
    <row r="70" spans="37:38">
      <c r="AK70">
        <v>263.25670000000002</v>
      </c>
      <c r="AL70">
        <v>263.27480000000003</v>
      </c>
    </row>
    <row r="71" spans="37:38">
      <c r="AK71">
        <v>263.22179999999997</v>
      </c>
      <c r="AL71">
        <v>264.59930000000003</v>
      </c>
    </row>
    <row r="72" spans="37:38">
      <c r="AK72">
        <v>263.14269999999999</v>
      </c>
      <c r="AL72">
        <v>264.1114</v>
      </c>
    </row>
    <row r="73" spans="37:38">
      <c r="AK73">
        <v>263.28269999999998</v>
      </c>
      <c r="AL73">
        <v>264.56790000000001</v>
      </c>
    </row>
    <row r="74" spans="37:38">
      <c r="AK74">
        <v>263.08359999999999</v>
      </c>
      <c r="AL74">
        <v>264.10300000000001</v>
      </c>
    </row>
    <row r="75" spans="37:38">
      <c r="AK75">
        <v>263.1728</v>
      </c>
      <c r="AL75">
        <v>264.13679999999999</v>
      </c>
    </row>
    <row r="76" spans="37:38">
      <c r="AK76">
        <v>263.08359999999999</v>
      </c>
      <c r="AL76">
        <v>265.03250000000003</v>
      </c>
    </row>
    <row r="77" spans="37:38">
      <c r="AK77">
        <v>263.1728</v>
      </c>
      <c r="AL77">
        <v>263.67070000000001</v>
      </c>
    </row>
    <row r="78" spans="37:38">
      <c r="AK78">
        <v>263.01299999999998</v>
      </c>
      <c r="AL78">
        <v>264.59930000000003</v>
      </c>
    </row>
    <row r="79" spans="37:38">
      <c r="AK79">
        <v>263.08710000000002</v>
      </c>
      <c r="AL79">
        <v>264.1114</v>
      </c>
    </row>
    <row r="80" spans="37:38">
      <c r="AK80">
        <v>263.33159999999998</v>
      </c>
      <c r="AL80">
        <v>264.56790000000001</v>
      </c>
    </row>
    <row r="81" spans="37:38">
      <c r="AK81">
        <v>265.45819999999998</v>
      </c>
      <c r="AL81">
        <v>264.10300000000001</v>
      </c>
    </row>
    <row r="82" spans="37:38">
      <c r="AK82">
        <v>265.39909999999998</v>
      </c>
      <c r="AL82">
        <v>264.13679999999999</v>
      </c>
    </row>
    <row r="83" spans="37:38">
      <c r="AK83">
        <v>265.35759999999999</v>
      </c>
      <c r="AL83">
        <v>265.03250000000003</v>
      </c>
    </row>
    <row r="84" spans="37:38">
      <c r="AK84">
        <v>265.48480000000001</v>
      </c>
      <c r="AL84">
        <v>263.67070000000001</v>
      </c>
    </row>
    <row r="85" spans="37:38">
      <c r="AK85">
        <v>265.4966</v>
      </c>
      <c r="AL85">
        <v>263.78210000000001</v>
      </c>
    </row>
    <row r="86" spans="37:38">
      <c r="AK86">
        <v>265.44389999999999</v>
      </c>
      <c r="AL86">
        <v>262.28149999999999</v>
      </c>
    </row>
    <row r="87" spans="37:38">
      <c r="AK87">
        <v>265.4871</v>
      </c>
      <c r="AL87">
        <v>263.08690000000001</v>
      </c>
    </row>
    <row r="88" spans="37:38">
      <c r="AK88">
        <v>265.36009999999999</v>
      </c>
      <c r="AL88">
        <v>263.19619999999998</v>
      </c>
    </row>
    <row r="89" spans="37:38">
      <c r="AK89">
        <v>265.33390000000003</v>
      </c>
      <c r="AL89">
        <v>263.19619999999998</v>
      </c>
    </row>
    <row r="90" spans="37:38">
      <c r="AK90">
        <v>263.99829999999997</v>
      </c>
      <c r="AL90">
        <v>263.19619999999998</v>
      </c>
    </row>
    <row r="91" spans="37:38">
      <c r="AK91">
        <v>265.33260000000001</v>
      </c>
      <c r="AL91">
        <v>263.19619999999998</v>
      </c>
    </row>
    <row r="92" spans="37:38">
      <c r="AK92">
        <v>265.49009999999998</v>
      </c>
      <c r="AL92">
        <v>263.19619999999998</v>
      </c>
    </row>
    <row r="93" spans="37:38">
      <c r="AK93">
        <v>265.39690000000002</v>
      </c>
      <c r="AL93">
        <v>263.19619999999998</v>
      </c>
    </row>
    <row r="94" spans="37:38">
      <c r="AK94">
        <v>265.41719999999998</v>
      </c>
      <c r="AL94">
        <v>264.41059999999999</v>
      </c>
    </row>
    <row r="95" spans="37:38">
      <c r="AK95">
        <v>265.38510000000002</v>
      </c>
      <c r="AL95">
        <v>264.40190000000001</v>
      </c>
    </row>
    <row r="96" spans="37:38">
      <c r="AK96">
        <v>265.43380000000002</v>
      </c>
      <c r="AL96">
        <v>263.1893</v>
      </c>
    </row>
    <row r="97" spans="37:40">
      <c r="AL97">
        <v>263.76400000000001</v>
      </c>
    </row>
    <row r="98" spans="37:40">
      <c r="AL98">
        <v>263.76400000000001</v>
      </c>
    </row>
    <row r="99" spans="37:40">
      <c r="AL99">
        <v>263.76400000000001</v>
      </c>
    </row>
    <row r="100" spans="37:40">
      <c r="AL100">
        <v>263.33859999999999</v>
      </c>
    </row>
    <row r="101" spans="37:40">
      <c r="AL101">
        <v>263.40210000000002</v>
      </c>
    </row>
    <row r="102" spans="37:40">
      <c r="AL102">
        <v>263.28879999999998</v>
      </c>
    </row>
    <row r="108" spans="37:40">
      <c r="AK108">
        <f>SUM(AK43:AK107)</f>
        <v>14267.0414</v>
      </c>
      <c r="AL108">
        <f t="shared" ref="AL108:AN108" si="4">SUM(AL43:AL107)</f>
        <v>15857.704699999997</v>
      </c>
      <c r="AM108">
        <f t="shared" si="4"/>
        <v>2617.3850000000002</v>
      </c>
      <c r="AN108">
        <f t="shared" si="4"/>
        <v>3238.1246999999998</v>
      </c>
    </row>
    <row r="109" spans="37:40">
      <c r="AM109">
        <v>2617.3850000000002</v>
      </c>
      <c r="AN109">
        <v>3238.1246999999998</v>
      </c>
    </row>
  </sheetData>
  <mergeCells count="29">
    <mergeCell ref="C27:D27"/>
    <mergeCell ref="E27:F27"/>
    <mergeCell ref="G27:H27"/>
    <mergeCell ref="I27:J27"/>
    <mergeCell ref="K27:M27"/>
    <mergeCell ref="D6:E6"/>
    <mergeCell ref="B8:B9"/>
    <mergeCell ref="B10:B11"/>
    <mergeCell ref="B12:B13"/>
    <mergeCell ref="B14:B15"/>
    <mergeCell ref="B16:B17"/>
    <mergeCell ref="B18:B19"/>
    <mergeCell ref="B20:B21"/>
    <mergeCell ref="B22:B23"/>
    <mergeCell ref="B6:C7"/>
    <mergeCell ref="C36:D36"/>
    <mergeCell ref="E36:F36"/>
    <mergeCell ref="G36:H36"/>
    <mergeCell ref="I36:J36"/>
    <mergeCell ref="K36:M36"/>
    <mergeCell ref="AK41:AN41"/>
    <mergeCell ref="P36:Q36"/>
    <mergeCell ref="R36:S36"/>
    <mergeCell ref="V36:X36"/>
    <mergeCell ref="T27:U27"/>
    <mergeCell ref="T36:U36"/>
    <mergeCell ref="P27:Q27"/>
    <mergeCell ref="R27:S27"/>
    <mergeCell ref="V27:X27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92"/>
  <sheetViews>
    <sheetView topLeftCell="A35" zoomScale="70" zoomScaleNormal="70" workbookViewId="0">
      <selection activeCell="K97" sqref="K97"/>
    </sheetView>
  </sheetViews>
  <sheetFormatPr defaultRowHeight="17"/>
  <cols>
    <col min="22" max="22" width="15.08203125" bestFit="1" customWidth="1"/>
    <col min="46" max="46" width="15.08203125" bestFit="1" customWidth="1"/>
  </cols>
  <sheetData>
    <row r="1" spans="1:24">
      <c r="A1" s="32" t="s">
        <v>243</v>
      </c>
      <c r="B1" t="s">
        <v>237</v>
      </c>
      <c r="V1" s="32" t="s">
        <v>242</v>
      </c>
      <c r="W1" t="s">
        <v>241</v>
      </c>
    </row>
    <row r="2" spans="1:24">
      <c r="B2" t="s">
        <v>153</v>
      </c>
      <c r="C2" t="s">
        <v>236</v>
      </c>
      <c r="W2" t="s">
        <v>239</v>
      </c>
      <c r="X2" t="s">
        <v>240</v>
      </c>
    </row>
    <row r="3" spans="1:24">
      <c r="W3" t="s">
        <v>238</v>
      </c>
    </row>
    <row r="9" spans="1:24" ht="17.5" thickBot="1">
      <c r="A9" t="s">
        <v>312</v>
      </c>
    </row>
    <row r="10" spans="1:24" ht="18" thickTop="1" thickBot="1">
      <c r="A10" s="503" t="s">
        <v>311</v>
      </c>
      <c r="B10" s="505"/>
      <c r="C10" s="125" t="s">
        <v>44</v>
      </c>
      <c r="D10" s="125" t="s">
        <v>45</v>
      </c>
      <c r="E10" s="125" t="s">
        <v>46</v>
      </c>
      <c r="F10" s="126" t="s">
        <v>11</v>
      </c>
    </row>
    <row r="11" spans="1:24" ht="29.5" thickTop="1">
      <c r="A11" s="507" t="s">
        <v>306</v>
      </c>
      <c r="B11" s="127" t="s">
        <v>309</v>
      </c>
      <c r="C11" s="128">
        <v>790405</v>
      </c>
      <c r="D11" s="128">
        <v>236113</v>
      </c>
      <c r="E11" s="128">
        <v>902683</v>
      </c>
      <c r="F11" s="129">
        <v>1929201</v>
      </c>
    </row>
    <row r="12" spans="1:24" ht="29.5" thickBot="1">
      <c r="A12" s="511"/>
      <c r="B12" s="130" t="s">
        <v>310</v>
      </c>
      <c r="C12" s="16">
        <v>0.41</v>
      </c>
      <c r="D12" s="16">
        <v>0.12</v>
      </c>
      <c r="E12" s="16">
        <v>0.47</v>
      </c>
      <c r="F12" s="131">
        <v>1</v>
      </c>
    </row>
    <row r="13" spans="1:24" ht="17.5" thickTop="1"/>
    <row r="16" spans="1:24" ht="18" thickBot="1">
      <c r="A16" s="157" t="s">
        <v>308</v>
      </c>
      <c r="L16" t="s">
        <v>317</v>
      </c>
      <c r="O16" s="157" t="s">
        <v>318</v>
      </c>
      <c r="X16" t="s">
        <v>317</v>
      </c>
    </row>
    <row r="17" spans="1:52" ht="17.5" thickTop="1">
      <c r="A17" s="523" t="s">
        <v>307</v>
      </c>
      <c r="B17" s="524"/>
      <c r="C17" s="524"/>
      <c r="D17" s="524"/>
      <c r="E17" s="525"/>
      <c r="F17" s="479" t="s">
        <v>165</v>
      </c>
      <c r="G17" s="480"/>
      <c r="H17" s="481"/>
      <c r="I17" s="105" t="s">
        <v>284</v>
      </c>
      <c r="J17" s="105" t="s">
        <v>286</v>
      </c>
      <c r="K17" s="105" t="s">
        <v>287</v>
      </c>
      <c r="L17" s="482" t="s">
        <v>21</v>
      </c>
      <c r="O17" s="527" t="s">
        <v>1</v>
      </c>
      <c r="P17" s="531" t="s">
        <v>288</v>
      </c>
      <c r="Q17" s="531"/>
      <c r="R17" s="531"/>
      <c r="S17" s="531"/>
      <c r="T17" s="531"/>
      <c r="U17" s="531"/>
      <c r="V17" s="531"/>
      <c r="W17" s="531"/>
      <c r="X17" s="531" t="s">
        <v>306</v>
      </c>
      <c r="Y17" s="531"/>
      <c r="Z17" s="531"/>
      <c r="AA17" s="531"/>
      <c r="AB17" s="531"/>
      <c r="AC17" s="531"/>
      <c r="AD17" s="531"/>
      <c r="AE17" s="531"/>
      <c r="AJ17" s="527" t="s">
        <v>1</v>
      </c>
      <c r="AK17" s="531" t="s">
        <v>288</v>
      </c>
      <c r="AL17" s="531"/>
      <c r="AM17" s="531"/>
      <c r="AN17" s="531"/>
      <c r="AO17" s="531"/>
      <c r="AP17" s="531"/>
      <c r="AQ17" s="531"/>
      <c r="AR17" s="531"/>
      <c r="AS17" s="531" t="s">
        <v>306</v>
      </c>
      <c r="AT17" s="531"/>
      <c r="AU17" s="531"/>
      <c r="AV17" s="531"/>
      <c r="AW17" s="531"/>
      <c r="AX17" s="531"/>
      <c r="AY17" s="531"/>
      <c r="AZ17" s="531"/>
    </row>
    <row r="18" spans="1:52" ht="17.5" thickBot="1">
      <c r="A18" s="526"/>
      <c r="B18" s="488"/>
      <c r="C18" s="488"/>
      <c r="D18" s="488"/>
      <c r="E18" s="489"/>
      <c r="F18" s="107" t="s">
        <v>44</v>
      </c>
      <c r="G18" s="107" t="s">
        <v>45</v>
      </c>
      <c r="H18" s="107" t="s">
        <v>46</v>
      </c>
      <c r="I18" s="106" t="s">
        <v>285</v>
      </c>
      <c r="J18" s="106" t="s">
        <v>285</v>
      </c>
      <c r="K18" s="106" t="s">
        <v>285</v>
      </c>
      <c r="L18" s="483"/>
      <c r="O18" s="527"/>
      <c r="P18" s="520" t="s">
        <v>327</v>
      </c>
      <c r="Q18" s="521"/>
      <c r="R18" s="521"/>
      <c r="S18" s="521"/>
      <c r="T18" s="521"/>
      <c r="U18" s="522"/>
      <c r="V18" s="519" t="s">
        <v>250</v>
      </c>
      <c r="W18" s="519"/>
      <c r="X18" s="520" t="s">
        <v>327</v>
      </c>
      <c r="Y18" s="521"/>
      <c r="Z18" s="521"/>
      <c r="AA18" s="521"/>
      <c r="AB18" s="521"/>
      <c r="AC18" s="522"/>
      <c r="AD18" s="519" t="s">
        <v>250</v>
      </c>
      <c r="AE18" s="519"/>
      <c r="AJ18" s="527"/>
      <c r="AK18" s="520" t="s">
        <v>327</v>
      </c>
      <c r="AL18" s="521"/>
      <c r="AM18" s="521"/>
      <c r="AN18" s="521"/>
      <c r="AO18" s="521"/>
      <c r="AP18" s="522"/>
      <c r="AQ18" s="519" t="s">
        <v>250</v>
      </c>
      <c r="AR18" s="519"/>
      <c r="AS18" s="520" t="s">
        <v>327</v>
      </c>
      <c r="AT18" s="521"/>
      <c r="AU18" s="521"/>
      <c r="AV18" s="521"/>
      <c r="AW18" s="521"/>
      <c r="AX18" s="522"/>
      <c r="AY18" s="519" t="s">
        <v>250</v>
      </c>
      <c r="AZ18" s="519"/>
    </row>
    <row r="19" spans="1:52" ht="18" customHeight="1" thickTop="1">
      <c r="A19" s="507" t="s">
        <v>288</v>
      </c>
      <c r="B19" s="528" t="s">
        <v>26</v>
      </c>
      <c r="C19" s="529"/>
      <c r="D19" s="529"/>
      <c r="E19" s="530"/>
      <c r="F19" s="108">
        <v>20259</v>
      </c>
      <c r="G19" s="108">
        <v>6052</v>
      </c>
      <c r="H19" s="108">
        <v>23137</v>
      </c>
      <c r="I19" s="108">
        <v>23132</v>
      </c>
      <c r="J19" s="108">
        <v>46590</v>
      </c>
      <c r="K19" s="108">
        <v>185428</v>
      </c>
      <c r="L19" s="109">
        <v>304599</v>
      </c>
      <c r="O19" s="527"/>
      <c r="P19" s="519" t="s">
        <v>325</v>
      </c>
      <c r="Q19" s="519"/>
      <c r="R19" s="519"/>
      <c r="S19" s="519"/>
      <c r="T19" s="519" t="s">
        <v>326</v>
      </c>
      <c r="U19" s="519"/>
      <c r="V19" s="519"/>
      <c r="W19" s="519"/>
      <c r="X19" s="519" t="s">
        <v>325</v>
      </c>
      <c r="Y19" s="519"/>
      <c r="Z19" s="519"/>
      <c r="AA19" s="519"/>
      <c r="AB19" s="519" t="s">
        <v>326</v>
      </c>
      <c r="AC19" s="519"/>
      <c r="AD19" s="519"/>
      <c r="AE19" s="519"/>
      <c r="AJ19" s="527"/>
      <c r="AK19" s="519" t="s">
        <v>325</v>
      </c>
      <c r="AL19" s="519"/>
      <c r="AM19" s="519"/>
      <c r="AN19" s="519"/>
      <c r="AO19" s="519" t="s">
        <v>326</v>
      </c>
      <c r="AP19" s="519"/>
      <c r="AQ19" s="519"/>
      <c r="AR19" s="519"/>
      <c r="AS19" s="519" t="s">
        <v>325</v>
      </c>
      <c r="AT19" s="519"/>
      <c r="AU19" s="519"/>
      <c r="AV19" s="519"/>
      <c r="AW19" s="519" t="s">
        <v>326</v>
      </c>
      <c r="AX19" s="519"/>
      <c r="AY19" s="519"/>
      <c r="AZ19" s="519"/>
    </row>
    <row r="20" spans="1:52">
      <c r="A20" s="508"/>
      <c r="B20" s="110" t="s">
        <v>289</v>
      </c>
      <c r="C20" s="490" t="s">
        <v>11</v>
      </c>
      <c r="D20" s="491"/>
      <c r="E20" s="496"/>
      <c r="F20" s="114">
        <v>20259</v>
      </c>
      <c r="G20" s="114">
        <v>6052</v>
      </c>
      <c r="H20" s="114">
        <v>23137</v>
      </c>
      <c r="I20" s="114">
        <v>23132</v>
      </c>
      <c r="J20" s="9">
        <v>0</v>
      </c>
      <c r="K20" s="9">
        <v>0</v>
      </c>
      <c r="L20" s="115">
        <v>72581</v>
      </c>
      <c r="O20" s="527"/>
      <c r="P20" s="139" t="s">
        <v>314</v>
      </c>
      <c r="Q20" s="139" t="s">
        <v>285</v>
      </c>
      <c r="R20" s="104"/>
      <c r="S20" s="519" t="s">
        <v>166</v>
      </c>
      <c r="T20" s="519" t="s">
        <v>9</v>
      </c>
      <c r="U20" s="519" t="s">
        <v>10</v>
      </c>
      <c r="V20" s="519" t="s">
        <v>9</v>
      </c>
      <c r="W20" s="519" t="s">
        <v>10</v>
      </c>
      <c r="X20" s="139" t="s">
        <v>314</v>
      </c>
      <c r="Y20" s="139" t="s">
        <v>285</v>
      </c>
      <c r="Z20" s="104"/>
      <c r="AA20" s="519" t="s">
        <v>166</v>
      </c>
      <c r="AB20" s="519" t="s">
        <v>9</v>
      </c>
      <c r="AC20" s="519" t="s">
        <v>10</v>
      </c>
      <c r="AD20" s="519" t="s">
        <v>9</v>
      </c>
      <c r="AE20" s="519" t="s">
        <v>10</v>
      </c>
      <c r="AJ20" s="527"/>
      <c r="AK20" s="139" t="s">
        <v>314</v>
      </c>
      <c r="AL20" s="139" t="s">
        <v>285</v>
      </c>
      <c r="AM20" s="104"/>
      <c r="AN20" s="519" t="s">
        <v>166</v>
      </c>
      <c r="AO20" s="519" t="s">
        <v>9</v>
      </c>
      <c r="AP20" s="519" t="s">
        <v>10</v>
      </c>
      <c r="AQ20" s="519" t="s">
        <v>9</v>
      </c>
      <c r="AR20" s="519" t="s">
        <v>10</v>
      </c>
      <c r="AS20" s="139" t="s">
        <v>314</v>
      </c>
      <c r="AT20" s="139" t="s">
        <v>285</v>
      </c>
      <c r="AU20" s="104"/>
      <c r="AV20" s="519" t="s">
        <v>166</v>
      </c>
      <c r="AW20" s="519" t="s">
        <v>9</v>
      </c>
      <c r="AX20" s="519" t="s">
        <v>10</v>
      </c>
      <c r="AY20" s="519" t="s">
        <v>9</v>
      </c>
      <c r="AZ20" s="519" t="s">
        <v>10</v>
      </c>
    </row>
    <row r="21" spans="1:52">
      <c r="A21" s="508"/>
      <c r="B21" s="111" t="s">
        <v>290</v>
      </c>
      <c r="C21" s="110" t="s">
        <v>291</v>
      </c>
      <c r="D21" s="490" t="s">
        <v>292</v>
      </c>
      <c r="E21" s="496"/>
      <c r="F21" s="117">
        <v>437</v>
      </c>
      <c r="G21" s="117">
        <v>130</v>
      </c>
      <c r="H21" s="117">
        <v>499</v>
      </c>
      <c r="I21" s="117">
        <v>448</v>
      </c>
      <c r="J21" s="9">
        <v>0</v>
      </c>
      <c r="K21" s="9">
        <v>0</v>
      </c>
      <c r="L21" s="115">
        <v>1515</v>
      </c>
      <c r="O21" s="527"/>
      <c r="P21" s="139" t="s">
        <v>44</v>
      </c>
      <c r="Q21" s="139" t="s">
        <v>45</v>
      </c>
      <c r="R21" s="139" t="s">
        <v>46</v>
      </c>
      <c r="S21" s="519"/>
      <c r="T21" s="519"/>
      <c r="U21" s="519"/>
      <c r="V21" s="519"/>
      <c r="W21" s="519"/>
      <c r="X21" s="139" t="s">
        <v>44</v>
      </c>
      <c r="Y21" s="139" t="s">
        <v>45</v>
      </c>
      <c r="Z21" s="139" t="s">
        <v>46</v>
      </c>
      <c r="AA21" s="519"/>
      <c r="AB21" s="519"/>
      <c r="AC21" s="519"/>
      <c r="AD21" s="519"/>
      <c r="AE21" s="519"/>
      <c r="AJ21" s="527"/>
      <c r="AK21" s="139" t="s">
        <v>44</v>
      </c>
      <c r="AL21" s="139" t="s">
        <v>45</v>
      </c>
      <c r="AM21" s="139" t="s">
        <v>46</v>
      </c>
      <c r="AN21" s="519"/>
      <c r="AO21" s="519"/>
      <c r="AP21" s="519"/>
      <c r="AQ21" s="519"/>
      <c r="AR21" s="519"/>
      <c r="AS21" s="139" t="s">
        <v>44</v>
      </c>
      <c r="AT21" s="139" t="s">
        <v>45</v>
      </c>
      <c r="AU21" s="139" t="s">
        <v>46</v>
      </c>
      <c r="AV21" s="519"/>
      <c r="AW21" s="519"/>
      <c r="AX21" s="519"/>
      <c r="AY21" s="519"/>
      <c r="AZ21" s="519"/>
    </row>
    <row r="22" spans="1:52">
      <c r="A22" s="508"/>
      <c r="B22" s="111" t="s">
        <v>19</v>
      </c>
      <c r="C22" s="116" t="s">
        <v>289</v>
      </c>
      <c r="D22" s="490" t="s">
        <v>293</v>
      </c>
      <c r="E22" s="496"/>
      <c r="F22" s="117">
        <v>437</v>
      </c>
      <c r="G22" s="117">
        <v>130</v>
      </c>
      <c r="H22" s="117">
        <v>499</v>
      </c>
      <c r="I22" s="117">
        <v>448</v>
      </c>
      <c r="J22" s="9">
        <v>0</v>
      </c>
      <c r="K22" s="9">
        <v>0</v>
      </c>
      <c r="L22" s="115">
        <v>1515</v>
      </c>
      <c r="O22" s="140" t="s">
        <v>156</v>
      </c>
      <c r="P22" s="141">
        <f>AK22*0.01</f>
        <v>0.40700000000000003</v>
      </c>
      <c r="Q22" s="141">
        <f t="shared" ref="Q22:Q26" si="0">AL22*0.01</f>
        <v>7.0000000000000007E-2</v>
      </c>
      <c r="R22" s="141">
        <f t="shared" ref="R22:R26" si="1">AM22*0.01</f>
        <v>0.28199999999999997</v>
      </c>
      <c r="S22" s="141">
        <f t="shared" ref="S22:S26" si="2">AN22*0.01</f>
        <v>0.253</v>
      </c>
      <c r="T22" s="141">
        <f t="shared" ref="T22:T26" si="3">AO22*0.01</f>
        <v>0.26600000000000001</v>
      </c>
      <c r="U22" s="141">
        <f t="shared" ref="U22:U26" si="4">AP22*0.01</f>
        <v>0.28500000000000003</v>
      </c>
      <c r="V22" s="141">
        <f t="shared" ref="V22:V26" si="5">AQ22*0.01</f>
        <v>0.371</v>
      </c>
      <c r="W22" s="141">
        <f t="shared" ref="W22:W26" si="6">AR22*0.01</f>
        <v>0.34899999999999998</v>
      </c>
      <c r="X22" s="141">
        <f t="shared" ref="X22:X26" si="7">AS22*0.01</f>
        <v>0.40799999999999997</v>
      </c>
      <c r="Y22" s="141">
        <f t="shared" ref="Y22:Y26" si="8">AT22*0.01</f>
        <v>7.0999999999999994E-2</v>
      </c>
      <c r="Z22" s="141">
        <f t="shared" ref="Z22:Z26" si="9">AU22*0.01</f>
        <v>0.28399999999999997</v>
      </c>
      <c r="AA22" s="141">
        <f t="shared" ref="AA22:AA26" si="10">AV22*0.01</f>
        <v>0.254</v>
      </c>
      <c r="AB22" s="141">
        <f t="shared" ref="AB22:AB26" si="11">AW22*0.01</f>
        <v>0.26700000000000002</v>
      </c>
      <c r="AC22" s="141">
        <f t="shared" ref="AC22:AC26" si="12">AX22*0.01</f>
        <v>0.28699999999999998</v>
      </c>
      <c r="AD22" s="141">
        <f t="shared" ref="AD22:AD26" si="13">AY22*0.01</f>
        <v>0.37200000000000005</v>
      </c>
      <c r="AE22" s="141">
        <f t="shared" ref="AE22:AE26" si="14">AZ22*0.01</f>
        <v>0.35100000000000003</v>
      </c>
      <c r="AJ22" s="140" t="s">
        <v>156</v>
      </c>
      <c r="AK22" s="141">
        <v>40.700000000000003</v>
      </c>
      <c r="AL22" s="141">
        <v>7</v>
      </c>
      <c r="AM22" s="141">
        <v>28.2</v>
      </c>
      <c r="AN22" s="141">
        <v>25.3</v>
      </c>
      <c r="AO22" s="141">
        <v>26.6</v>
      </c>
      <c r="AP22" s="141">
        <v>28.5</v>
      </c>
      <c r="AQ22" s="141">
        <v>37.1</v>
      </c>
      <c r="AR22" s="141">
        <v>34.9</v>
      </c>
      <c r="AS22" s="141">
        <v>40.799999999999997</v>
      </c>
      <c r="AT22" s="141">
        <v>7.1</v>
      </c>
      <c r="AU22" s="141">
        <v>28.4</v>
      </c>
      <c r="AV22" s="141">
        <v>25.4</v>
      </c>
      <c r="AW22" s="141">
        <v>26.7</v>
      </c>
      <c r="AX22" s="141">
        <v>28.7</v>
      </c>
      <c r="AY22" s="141">
        <v>37.200000000000003</v>
      </c>
      <c r="AZ22" s="141">
        <v>35.1</v>
      </c>
    </row>
    <row r="23" spans="1:52">
      <c r="A23" s="508"/>
      <c r="B23" s="112"/>
      <c r="C23" s="110" t="s">
        <v>294</v>
      </c>
      <c r="D23" s="490" t="s">
        <v>292</v>
      </c>
      <c r="E23" s="496"/>
      <c r="F23" s="114">
        <v>19823</v>
      </c>
      <c r="G23" s="114">
        <v>5922</v>
      </c>
      <c r="H23" s="114">
        <v>22639</v>
      </c>
      <c r="I23" s="114">
        <v>22684</v>
      </c>
      <c r="J23" s="9">
        <v>0</v>
      </c>
      <c r="K23" s="9">
        <v>0</v>
      </c>
      <c r="L23" s="115">
        <v>71066</v>
      </c>
      <c r="O23" s="140" t="s">
        <v>157</v>
      </c>
      <c r="P23" s="141">
        <f t="shared" ref="P23:P26" si="15">AK23*0.01</f>
        <v>5.9000000000000004E-2</v>
      </c>
      <c r="Q23" s="141">
        <f t="shared" si="0"/>
        <v>2.4E-2</v>
      </c>
      <c r="R23" s="141">
        <f t="shared" si="1"/>
        <v>7.0000000000000007E-2</v>
      </c>
      <c r="S23" s="141">
        <f t="shared" si="2"/>
        <v>7.400000000000001E-2</v>
      </c>
      <c r="T23" s="141">
        <f t="shared" si="3"/>
        <v>1.9E-2</v>
      </c>
      <c r="U23" s="141">
        <f t="shared" si="4"/>
        <v>3.9E-2</v>
      </c>
      <c r="V23" s="141">
        <f t="shared" si="5"/>
        <v>9.6000000000000002E-2</v>
      </c>
      <c r="W23" s="141">
        <f t="shared" si="6"/>
        <v>9.3000000000000013E-2</v>
      </c>
      <c r="X23" s="141">
        <f t="shared" si="7"/>
        <v>5.9000000000000004E-2</v>
      </c>
      <c r="Y23" s="141">
        <f t="shared" si="8"/>
        <v>2.4E-2</v>
      </c>
      <c r="Z23" s="141">
        <f t="shared" si="9"/>
        <v>7.0999999999999994E-2</v>
      </c>
      <c r="AA23" s="141">
        <f t="shared" si="10"/>
        <v>7.4999999999999997E-2</v>
      </c>
      <c r="AB23" s="141">
        <f t="shared" si="11"/>
        <v>1.9E-2</v>
      </c>
      <c r="AC23" s="141">
        <f t="shared" si="12"/>
        <v>3.9E-2</v>
      </c>
      <c r="AD23" s="141">
        <f t="shared" si="13"/>
        <v>9.6999999999999989E-2</v>
      </c>
      <c r="AE23" s="141">
        <f t="shared" si="14"/>
        <v>9.4E-2</v>
      </c>
      <c r="AJ23" s="140" t="s">
        <v>157</v>
      </c>
      <c r="AK23" s="141">
        <v>5.9</v>
      </c>
      <c r="AL23" s="141">
        <v>2.4</v>
      </c>
      <c r="AM23" s="141">
        <v>7</v>
      </c>
      <c r="AN23" s="141">
        <v>7.4</v>
      </c>
      <c r="AO23" s="141">
        <v>1.9</v>
      </c>
      <c r="AP23" s="141">
        <v>3.9</v>
      </c>
      <c r="AQ23" s="141">
        <v>9.6</v>
      </c>
      <c r="AR23" s="141">
        <v>9.3000000000000007</v>
      </c>
      <c r="AS23" s="141">
        <v>5.9</v>
      </c>
      <c r="AT23" s="141">
        <v>2.4</v>
      </c>
      <c r="AU23" s="141">
        <v>7.1</v>
      </c>
      <c r="AV23" s="141">
        <v>7.5</v>
      </c>
      <c r="AW23" s="141">
        <v>1.9</v>
      </c>
      <c r="AX23" s="141">
        <v>3.9</v>
      </c>
      <c r="AY23" s="141">
        <v>9.6999999999999993</v>
      </c>
      <c r="AZ23" s="141">
        <v>9.4</v>
      </c>
    </row>
    <row r="24" spans="1:52">
      <c r="A24" s="508"/>
      <c r="B24" s="112"/>
      <c r="C24" s="111" t="s">
        <v>289</v>
      </c>
      <c r="D24" s="515" t="s">
        <v>295</v>
      </c>
      <c r="E24" s="118" t="s">
        <v>21</v>
      </c>
      <c r="F24" s="114">
        <v>16661</v>
      </c>
      <c r="G24" s="114">
        <v>4977</v>
      </c>
      <c r="H24" s="114">
        <v>19027</v>
      </c>
      <c r="I24" s="114">
        <v>19437</v>
      </c>
      <c r="J24" s="9">
        <v>0</v>
      </c>
      <c r="K24" s="9">
        <v>0</v>
      </c>
      <c r="L24" s="115">
        <v>60102</v>
      </c>
      <c r="O24" s="140" t="s">
        <v>158</v>
      </c>
      <c r="P24" s="141">
        <f t="shared" si="15"/>
        <v>0.40100000000000002</v>
      </c>
      <c r="Q24" s="141">
        <f t="shared" si="0"/>
        <v>0.39100000000000001</v>
      </c>
      <c r="R24" s="141">
        <f t="shared" si="1"/>
        <v>0.40799999999999997</v>
      </c>
      <c r="S24" s="141">
        <f t="shared" si="2"/>
        <v>0.42</v>
      </c>
      <c r="T24" s="141">
        <f t="shared" si="3"/>
        <v>0.55299999999999994</v>
      </c>
      <c r="U24" s="141">
        <f t="shared" si="4"/>
        <v>0.19700000000000001</v>
      </c>
      <c r="V24" s="141">
        <f t="shared" si="5"/>
        <v>0.34799999999999998</v>
      </c>
      <c r="W24" s="141">
        <f t="shared" si="6"/>
        <v>0.35799999999999998</v>
      </c>
      <c r="X24" s="141">
        <f t="shared" si="7"/>
        <v>0.4</v>
      </c>
      <c r="Y24" s="141">
        <f t="shared" si="8"/>
        <v>0.39200000000000002</v>
      </c>
      <c r="Z24" s="141">
        <f t="shared" si="9"/>
        <v>0.40799999999999997</v>
      </c>
      <c r="AA24" s="141">
        <f t="shared" si="10"/>
        <v>0.42</v>
      </c>
      <c r="AB24" s="141">
        <f t="shared" si="11"/>
        <v>0.55299999999999994</v>
      </c>
      <c r="AC24" s="141">
        <f t="shared" si="12"/>
        <v>0.19700000000000001</v>
      </c>
      <c r="AD24" s="141">
        <f t="shared" si="13"/>
        <v>0.34799999999999998</v>
      </c>
      <c r="AE24" s="141">
        <f t="shared" si="14"/>
        <v>0.35700000000000004</v>
      </c>
      <c r="AJ24" s="140" t="s">
        <v>158</v>
      </c>
      <c r="AK24" s="141">
        <v>40.1</v>
      </c>
      <c r="AL24" s="141">
        <v>39.1</v>
      </c>
      <c r="AM24" s="141">
        <v>40.799999999999997</v>
      </c>
      <c r="AN24" s="141">
        <v>42</v>
      </c>
      <c r="AO24" s="141">
        <v>55.3</v>
      </c>
      <c r="AP24" s="141">
        <v>19.7</v>
      </c>
      <c r="AQ24" s="141">
        <v>34.799999999999997</v>
      </c>
      <c r="AR24" s="141">
        <v>35.799999999999997</v>
      </c>
      <c r="AS24" s="141">
        <v>40</v>
      </c>
      <c r="AT24" s="141">
        <v>39.200000000000003</v>
      </c>
      <c r="AU24" s="141">
        <v>40.799999999999997</v>
      </c>
      <c r="AV24" s="141">
        <v>42</v>
      </c>
      <c r="AW24" s="141">
        <v>55.3</v>
      </c>
      <c r="AX24" s="141">
        <v>19.7</v>
      </c>
      <c r="AY24" s="141">
        <v>34.799999999999997</v>
      </c>
      <c r="AZ24" s="141">
        <v>35.700000000000003</v>
      </c>
    </row>
    <row r="25" spans="1:52">
      <c r="A25" s="508"/>
      <c r="B25" s="112"/>
      <c r="C25" s="112"/>
      <c r="D25" s="494"/>
      <c r="E25" s="9" t="s">
        <v>296</v>
      </c>
      <c r="F25" s="114">
        <v>9511</v>
      </c>
      <c r="G25" s="114">
        <v>2841</v>
      </c>
      <c r="H25" s="114">
        <v>10863</v>
      </c>
      <c r="I25" s="114">
        <v>12097</v>
      </c>
      <c r="J25" s="9">
        <v>0</v>
      </c>
      <c r="K25" s="9">
        <v>0</v>
      </c>
      <c r="L25" s="115">
        <v>35312</v>
      </c>
      <c r="O25" s="140" t="s">
        <v>46</v>
      </c>
      <c r="P25" s="141">
        <f t="shared" si="15"/>
        <v>0.13300000000000001</v>
      </c>
      <c r="Q25" s="141">
        <f t="shared" si="0"/>
        <v>0.51400000000000001</v>
      </c>
      <c r="R25" s="141">
        <f t="shared" si="1"/>
        <v>0.23899999999999999</v>
      </c>
      <c r="S25" s="141">
        <f t="shared" si="2"/>
        <v>0.253</v>
      </c>
      <c r="T25" s="141">
        <f t="shared" si="3"/>
        <v>0.16200000000000001</v>
      </c>
      <c r="U25" s="141">
        <f t="shared" si="4"/>
        <v>0.47899999999999998</v>
      </c>
      <c r="V25" s="141">
        <f t="shared" si="5"/>
        <v>0.185</v>
      </c>
      <c r="W25" s="141">
        <f t="shared" si="6"/>
        <v>0.19899999999999998</v>
      </c>
      <c r="X25" s="141">
        <f t="shared" si="7"/>
        <v>0.13200000000000001</v>
      </c>
      <c r="Y25" s="141">
        <f t="shared" si="8"/>
        <v>0.51300000000000001</v>
      </c>
      <c r="Z25" s="141">
        <f t="shared" si="9"/>
        <v>0.23800000000000002</v>
      </c>
      <c r="AA25" s="141">
        <f t="shared" si="10"/>
        <v>0.251</v>
      </c>
      <c r="AB25" s="141">
        <f t="shared" si="11"/>
        <v>0.161</v>
      </c>
      <c r="AC25" s="141">
        <f t="shared" si="12"/>
        <v>0.47600000000000003</v>
      </c>
      <c r="AD25" s="141">
        <f t="shared" si="13"/>
        <v>0.18300000000000002</v>
      </c>
      <c r="AE25" s="141">
        <f t="shared" si="14"/>
        <v>0.19800000000000001</v>
      </c>
      <c r="AJ25" s="140" t="s">
        <v>46</v>
      </c>
      <c r="AK25" s="141">
        <v>13.3</v>
      </c>
      <c r="AL25" s="141">
        <v>51.4</v>
      </c>
      <c r="AM25" s="141">
        <v>23.9</v>
      </c>
      <c r="AN25" s="141">
        <v>25.3</v>
      </c>
      <c r="AO25" s="141">
        <v>16.2</v>
      </c>
      <c r="AP25" s="141">
        <v>47.9</v>
      </c>
      <c r="AQ25" s="141">
        <v>18.5</v>
      </c>
      <c r="AR25" s="141">
        <v>19.899999999999999</v>
      </c>
      <c r="AS25" s="141">
        <v>13.2</v>
      </c>
      <c r="AT25" s="141">
        <v>51.3</v>
      </c>
      <c r="AU25" s="141">
        <v>23.8</v>
      </c>
      <c r="AV25" s="141">
        <v>25.1</v>
      </c>
      <c r="AW25" s="141">
        <v>16.100000000000001</v>
      </c>
      <c r="AX25" s="141">
        <v>47.6</v>
      </c>
      <c r="AY25" s="141">
        <v>18.3</v>
      </c>
      <c r="AZ25" s="141">
        <v>19.8</v>
      </c>
    </row>
    <row r="26" spans="1:52" ht="29">
      <c r="A26" s="508"/>
      <c r="B26" s="112"/>
      <c r="C26" s="112"/>
      <c r="D26" s="495"/>
      <c r="E26" s="9" t="s">
        <v>297</v>
      </c>
      <c r="F26" s="114">
        <v>7149</v>
      </c>
      <c r="G26" s="114">
        <v>2136</v>
      </c>
      <c r="H26" s="114">
        <v>8165</v>
      </c>
      <c r="I26" s="114">
        <v>7340</v>
      </c>
      <c r="J26" s="9">
        <v>0</v>
      </c>
      <c r="K26" s="9">
        <v>0</v>
      </c>
      <c r="L26" s="115">
        <v>24790</v>
      </c>
      <c r="O26" s="140" t="s">
        <v>11</v>
      </c>
      <c r="P26" s="141">
        <f t="shared" si="15"/>
        <v>1</v>
      </c>
      <c r="Q26" s="141">
        <f t="shared" si="0"/>
        <v>1</v>
      </c>
      <c r="R26" s="141">
        <f t="shared" si="1"/>
        <v>1</v>
      </c>
      <c r="S26" s="141">
        <f t="shared" si="2"/>
        <v>1</v>
      </c>
      <c r="T26" s="141">
        <f t="shared" si="3"/>
        <v>1</v>
      </c>
      <c r="U26" s="141">
        <f t="shared" si="4"/>
        <v>1</v>
      </c>
      <c r="V26" s="141">
        <f t="shared" si="5"/>
        <v>1</v>
      </c>
      <c r="W26" s="141">
        <f t="shared" si="6"/>
        <v>1</v>
      </c>
      <c r="X26" s="141">
        <f t="shared" si="7"/>
        <v>1</v>
      </c>
      <c r="Y26" s="141">
        <f t="shared" si="8"/>
        <v>1</v>
      </c>
      <c r="Z26" s="141">
        <f t="shared" si="9"/>
        <v>1</v>
      </c>
      <c r="AA26" s="141">
        <f t="shared" si="10"/>
        <v>1</v>
      </c>
      <c r="AB26" s="141">
        <f t="shared" si="11"/>
        <v>1</v>
      </c>
      <c r="AC26" s="141">
        <f t="shared" si="12"/>
        <v>1</v>
      </c>
      <c r="AD26" s="141">
        <f t="shared" si="13"/>
        <v>1</v>
      </c>
      <c r="AE26" s="141">
        <f t="shared" si="14"/>
        <v>1</v>
      </c>
      <c r="AJ26" s="140" t="s">
        <v>11</v>
      </c>
      <c r="AK26" s="141">
        <v>100</v>
      </c>
      <c r="AL26" s="141">
        <v>100</v>
      </c>
      <c r="AM26" s="141">
        <v>100</v>
      </c>
      <c r="AN26" s="141">
        <v>100</v>
      </c>
      <c r="AO26" s="141">
        <v>100</v>
      </c>
      <c r="AP26" s="141">
        <v>100</v>
      </c>
      <c r="AQ26" s="141">
        <v>100</v>
      </c>
      <c r="AR26" s="141">
        <v>100</v>
      </c>
      <c r="AS26" s="141">
        <v>100</v>
      </c>
      <c r="AT26" s="141">
        <v>100</v>
      </c>
      <c r="AU26" s="141">
        <v>100</v>
      </c>
      <c r="AV26" s="141">
        <v>100</v>
      </c>
      <c r="AW26" s="141">
        <v>100</v>
      </c>
      <c r="AX26" s="141">
        <v>100</v>
      </c>
      <c r="AY26" s="141">
        <v>100</v>
      </c>
      <c r="AZ26" s="141">
        <v>100</v>
      </c>
    </row>
    <row r="27" spans="1:52">
      <c r="A27" s="508"/>
      <c r="B27" s="112"/>
      <c r="C27" s="112"/>
      <c r="D27" s="110" t="s">
        <v>298</v>
      </c>
      <c r="E27" s="118" t="s">
        <v>21</v>
      </c>
      <c r="F27" s="114">
        <v>3162</v>
      </c>
      <c r="G27" s="117">
        <v>945</v>
      </c>
      <c r="H27" s="114">
        <v>3611</v>
      </c>
      <c r="I27" s="114">
        <v>3247</v>
      </c>
      <c r="J27" s="9">
        <v>0</v>
      </c>
      <c r="K27" s="9">
        <v>0</v>
      </c>
      <c r="L27" s="115">
        <v>10964</v>
      </c>
    </row>
    <row r="28" spans="1:52" ht="29">
      <c r="A28" s="508"/>
      <c r="B28" s="112"/>
      <c r="C28" s="112"/>
      <c r="D28" s="111" t="s">
        <v>18</v>
      </c>
      <c r="E28" s="9" t="s">
        <v>297</v>
      </c>
      <c r="F28" s="114">
        <v>1150</v>
      </c>
      <c r="G28" s="117">
        <v>343</v>
      </c>
      <c r="H28" s="114">
        <v>1313</v>
      </c>
      <c r="I28" s="114">
        <v>1181</v>
      </c>
      <c r="J28" s="9">
        <v>0</v>
      </c>
      <c r="K28" s="9">
        <v>0</v>
      </c>
      <c r="L28" s="115">
        <v>3987</v>
      </c>
    </row>
    <row r="29" spans="1:52" ht="18" thickBot="1">
      <c r="A29" s="508"/>
      <c r="B29" s="112"/>
      <c r="C29" s="113"/>
      <c r="D29" s="113"/>
      <c r="E29" s="9" t="s">
        <v>299</v>
      </c>
      <c r="F29" s="114">
        <v>2012</v>
      </c>
      <c r="G29" s="117">
        <v>601</v>
      </c>
      <c r="H29" s="114">
        <v>2298</v>
      </c>
      <c r="I29" s="114">
        <v>2066</v>
      </c>
      <c r="J29" s="9">
        <v>0</v>
      </c>
      <c r="K29" s="9">
        <v>0</v>
      </c>
      <c r="L29" s="115">
        <v>6977</v>
      </c>
      <c r="O29" s="158" t="s">
        <v>332</v>
      </c>
    </row>
    <row r="30" spans="1:52" ht="18" thickTop="1" thickBot="1">
      <c r="A30" s="508"/>
      <c r="B30" s="113"/>
      <c r="C30" s="490" t="s">
        <v>13</v>
      </c>
      <c r="D30" s="491"/>
      <c r="E30" s="496"/>
      <c r="F30" s="9">
        <v>0</v>
      </c>
      <c r="G30" s="9">
        <v>0</v>
      </c>
      <c r="H30" s="9">
        <v>0</v>
      </c>
      <c r="I30" s="9">
        <v>0</v>
      </c>
      <c r="J30" s="114">
        <v>1639</v>
      </c>
      <c r="K30" s="114">
        <v>17657</v>
      </c>
      <c r="L30" s="115">
        <v>19297</v>
      </c>
      <c r="O30" s="155" t="s">
        <v>1</v>
      </c>
      <c r="P30" s="125" t="s">
        <v>156</v>
      </c>
      <c r="Q30" s="125" t="s">
        <v>157</v>
      </c>
      <c r="R30" s="126" t="s">
        <v>158</v>
      </c>
    </row>
    <row r="31" spans="1:52" ht="27" thickTop="1" thickBot="1">
      <c r="A31" s="508"/>
      <c r="B31" s="110" t="s">
        <v>300</v>
      </c>
      <c r="C31" s="490" t="s">
        <v>301</v>
      </c>
      <c r="D31" s="491"/>
      <c r="E31" s="496"/>
      <c r="F31" s="9">
        <v>0</v>
      </c>
      <c r="G31" s="9">
        <v>0</v>
      </c>
      <c r="H31" s="9">
        <v>0</v>
      </c>
      <c r="I31" s="9">
        <v>0</v>
      </c>
      <c r="J31" s="114">
        <v>28783</v>
      </c>
      <c r="K31" s="114">
        <v>110819</v>
      </c>
      <c r="L31" s="115">
        <v>139602</v>
      </c>
      <c r="O31" s="156" t="s">
        <v>163</v>
      </c>
      <c r="P31" s="94">
        <v>1.59</v>
      </c>
      <c r="Q31" s="94">
        <v>1.7</v>
      </c>
      <c r="R31" s="95">
        <v>30</v>
      </c>
    </row>
    <row r="32" spans="1:52" ht="17.5" thickTop="1">
      <c r="A32" s="508"/>
      <c r="B32" s="111" t="s">
        <v>20</v>
      </c>
      <c r="C32" s="490" t="s">
        <v>302</v>
      </c>
      <c r="D32" s="491"/>
      <c r="E32" s="496"/>
      <c r="F32" s="9">
        <v>0</v>
      </c>
      <c r="G32" s="9">
        <v>0</v>
      </c>
      <c r="H32" s="9">
        <v>0</v>
      </c>
      <c r="I32" s="9">
        <v>0</v>
      </c>
      <c r="J32" s="117">
        <v>343</v>
      </c>
      <c r="K32" s="117">
        <v>363</v>
      </c>
      <c r="L32" s="120">
        <v>706</v>
      </c>
    </row>
    <row r="33" spans="1:48">
      <c r="A33" s="508"/>
      <c r="B33" s="111" t="s">
        <v>19</v>
      </c>
      <c r="C33" s="490" t="s">
        <v>303</v>
      </c>
      <c r="D33" s="491"/>
      <c r="E33" s="496"/>
      <c r="F33" s="9">
        <v>0</v>
      </c>
      <c r="G33" s="9">
        <v>0</v>
      </c>
      <c r="H33" s="9">
        <v>0</v>
      </c>
      <c r="I33" s="9">
        <v>0</v>
      </c>
      <c r="J33" s="117">
        <v>607</v>
      </c>
      <c r="K33" s="114">
        <v>7659</v>
      </c>
      <c r="L33" s="115">
        <v>8266</v>
      </c>
    </row>
    <row r="34" spans="1:48" ht="17.5" thickBot="1">
      <c r="A34" s="508"/>
      <c r="B34" s="112"/>
      <c r="C34" s="490" t="s">
        <v>304</v>
      </c>
      <c r="D34" s="491"/>
      <c r="E34" s="496"/>
      <c r="F34" s="9">
        <v>0</v>
      </c>
      <c r="G34" s="9">
        <v>0</v>
      </c>
      <c r="H34" s="9">
        <v>0</v>
      </c>
      <c r="I34" s="9">
        <v>0</v>
      </c>
      <c r="J34" s="117">
        <v>56</v>
      </c>
      <c r="K34" s="9">
        <v>0</v>
      </c>
      <c r="L34" s="120">
        <v>56</v>
      </c>
    </row>
    <row r="35" spans="1:48" ht="18" thickTop="1" thickBot="1">
      <c r="A35" s="508"/>
      <c r="B35" s="112"/>
      <c r="C35" s="490" t="s">
        <v>305</v>
      </c>
      <c r="D35" s="491"/>
      <c r="E35" s="496"/>
      <c r="F35" s="9">
        <v>0</v>
      </c>
      <c r="G35" s="9">
        <v>0</v>
      </c>
      <c r="H35" s="9">
        <v>0</v>
      </c>
      <c r="I35" s="9">
        <v>0</v>
      </c>
      <c r="J35" s="117">
        <v>173</v>
      </c>
      <c r="K35" s="114">
        <v>2238</v>
      </c>
      <c r="L35" s="115">
        <v>2411</v>
      </c>
      <c r="AC35" s="503" t="s">
        <v>1</v>
      </c>
      <c r="AD35" s="504"/>
      <c r="AE35" s="504"/>
      <c r="AF35" s="504"/>
      <c r="AG35" s="505"/>
      <c r="AH35" s="125" t="s">
        <v>156</v>
      </c>
      <c r="AI35" s="125" t="s">
        <v>157</v>
      </c>
      <c r="AJ35" s="125" t="s">
        <v>158</v>
      </c>
      <c r="AK35" s="125" t="s">
        <v>46</v>
      </c>
      <c r="AL35" s="126" t="s">
        <v>11</v>
      </c>
    </row>
    <row r="36" spans="1:48" ht="18" thickTop="1" thickBot="1">
      <c r="A36" s="511"/>
      <c r="B36" s="119"/>
      <c r="C36" s="501" t="s">
        <v>47</v>
      </c>
      <c r="D36" s="506"/>
      <c r="E36" s="502"/>
      <c r="F36" s="9">
        <v>0</v>
      </c>
      <c r="G36" s="9">
        <v>0</v>
      </c>
      <c r="H36" s="9">
        <v>0</v>
      </c>
      <c r="I36" s="9">
        <v>0</v>
      </c>
      <c r="J36" s="121">
        <v>14989</v>
      </c>
      <c r="K36" s="121">
        <v>46691</v>
      </c>
      <c r="L36" s="122">
        <v>61681</v>
      </c>
      <c r="AC36" s="507" t="s">
        <v>288</v>
      </c>
      <c r="AD36" s="132" t="s">
        <v>313</v>
      </c>
      <c r="AE36" s="132" t="s">
        <v>291</v>
      </c>
      <c r="AF36" s="132" t="s">
        <v>314</v>
      </c>
      <c r="AG36" s="127" t="s">
        <v>44</v>
      </c>
      <c r="AH36" s="133">
        <v>40.700000000000003</v>
      </c>
      <c r="AI36" s="133">
        <v>5.9</v>
      </c>
      <c r="AJ36" s="133">
        <v>40.1</v>
      </c>
      <c r="AK36" s="133">
        <v>13.3</v>
      </c>
      <c r="AL36" s="134">
        <v>100</v>
      </c>
    </row>
    <row r="37" spans="1:48" ht="17.5" thickTop="1">
      <c r="A37" s="510" t="s">
        <v>306</v>
      </c>
      <c r="B37" s="512" t="s">
        <v>26</v>
      </c>
      <c r="C37" s="513"/>
      <c r="D37" s="513"/>
      <c r="E37" s="514"/>
      <c r="F37" s="123">
        <v>20259</v>
      </c>
      <c r="G37" s="123">
        <v>6052</v>
      </c>
      <c r="H37" s="123">
        <v>23137</v>
      </c>
      <c r="I37" s="123">
        <v>22703</v>
      </c>
      <c r="J37" s="123">
        <v>46590</v>
      </c>
      <c r="K37" s="123">
        <v>181985</v>
      </c>
      <c r="L37" s="124">
        <v>300727</v>
      </c>
      <c r="AC37" s="508"/>
      <c r="AD37" s="111" t="s">
        <v>19</v>
      </c>
      <c r="AE37" s="111" t="s">
        <v>294</v>
      </c>
      <c r="AF37" s="111" t="s">
        <v>285</v>
      </c>
      <c r="AG37" s="118" t="s">
        <v>45</v>
      </c>
      <c r="AH37" s="135">
        <v>7</v>
      </c>
      <c r="AI37" s="135">
        <v>2.4</v>
      </c>
      <c r="AJ37" s="135">
        <v>39.1</v>
      </c>
      <c r="AK37" s="135">
        <v>51.4</v>
      </c>
      <c r="AL37" s="136">
        <v>100</v>
      </c>
    </row>
    <row r="38" spans="1:48">
      <c r="A38" s="508"/>
      <c r="B38" s="110" t="s">
        <v>289</v>
      </c>
      <c r="C38" s="490" t="s">
        <v>11</v>
      </c>
      <c r="D38" s="491"/>
      <c r="E38" s="496"/>
      <c r="F38" s="114">
        <v>20259</v>
      </c>
      <c r="G38" s="114">
        <v>6052</v>
      </c>
      <c r="H38" s="114">
        <v>23137</v>
      </c>
      <c r="I38" s="114">
        <v>22703</v>
      </c>
      <c r="J38" s="9">
        <v>0</v>
      </c>
      <c r="K38" s="9">
        <v>0</v>
      </c>
      <c r="L38" s="115">
        <v>72151</v>
      </c>
      <c r="AC38" s="508"/>
      <c r="AD38" s="112"/>
      <c r="AE38" s="112"/>
      <c r="AF38" s="113"/>
      <c r="AG38" s="118" t="s">
        <v>46</v>
      </c>
      <c r="AH38" s="135">
        <v>28.2</v>
      </c>
      <c r="AI38" s="135">
        <v>7</v>
      </c>
      <c r="AJ38" s="135">
        <v>40.799999999999997</v>
      </c>
      <c r="AK38" s="135">
        <v>23.9</v>
      </c>
      <c r="AL38" s="136">
        <v>100</v>
      </c>
    </row>
    <row r="39" spans="1:48">
      <c r="A39" s="508"/>
      <c r="B39" s="111" t="s">
        <v>290</v>
      </c>
      <c r="C39" s="110" t="s">
        <v>291</v>
      </c>
      <c r="D39" s="490" t="s">
        <v>292</v>
      </c>
      <c r="E39" s="496"/>
      <c r="F39" s="117">
        <v>437</v>
      </c>
      <c r="G39" s="117">
        <v>130</v>
      </c>
      <c r="H39" s="117">
        <v>499</v>
      </c>
      <c r="I39" s="117">
        <v>440</v>
      </c>
      <c r="J39" s="9">
        <v>0</v>
      </c>
      <c r="K39" s="9">
        <v>0</v>
      </c>
      <c r="L39" s="115">
        <v>1506</v>
      </c>
      <c r="AC39" s="508"/>
      <c r="AD39" s="112"/>
      <c r="AE39" s="113"/>
      <c r="AF39" s="490" t="s">
        <v>166</v>
      </c>
      <c r="AG39" s="496"/>
      <c r="AH39" s="135">
        <v>25.3</v>
      </c>
      <c r="AI39" s="135">
        <v>7.4</v>
      </c>
      <c r="AJ39" s="135">
        <v>42</v>
      </c>
      <c r="AK39" s="135">
        <v>25.3</v>
      </c>
      <c r="AL39" s="136">
        <v>100</v>
      </c>
    </row>
    <row r="40" spans="1:48">
      <c r="A40" s="508"/>
      <c r="B40" s="111" t="s">
        <v>19</v>
      </c>
      <c r="C40" s="116" t="s">
        <v>289</v>
      </c>
      <c r="D40" s="490" t="s">
        <v>293</v>
      </c>
      <c r="E40" s="496"/>
      <c r="F40" s="117">
        <v>437</v>
      </c>
      <c r="G40" s="117">
        <v>130</v>
      </c>
      <c r="H40" s="117">
        <v>499</v>
      </c>
      <c r="I40" s="117">
        <v>440</v>
      </c>
      <c r="J40" s="9">
        <v>0</v>
      </c>
      <c r="K40" s="9">
        <v>0</v>
      </c>
      <c r="L40" s="115">
        <v>1506</v>
      </c>
      <c r="AC40" s="508"/>
      <c r="AD40" s="112"/>
      <c r="AE40" s="110" t="s">
        <v>315</v>
      </c>
      <c r="AF40" s="490" t="s">
        <v>9</v>
      </c>
      <c r="AG40" s="496"/>
      <c r="AH40" s="135">
        <v>26.6</v>
      </c>
      <c r="AI40" s="135">
        <v>1.9</v>
      </c>
      <c r="AJ40" s="135">
        <v>55.3</v>
      </c>
      <c r="AK40" s="135">
        <v>16.2</v>
      </c>
      <c r="AL40" s="136">
        <v>100</v>
      </c>
    </row>
    <row r="41" spans="1:48">
      <c r="A41" s="508"/>
      <c r="B41" s="112"/>
      <c r="C41" s="110" t="s">
        <v>294</v>
      </c>
      <c r="D41" s="490" t="s">
        <v>292</v>
      </c>
      <c r="E41" s="496"/>
      <c r="F41" s="114">
        <v>19823</v>
      </c>
      <c r="G41" s="114">
        <v>5922</v>
      </c>
      <c r="H41" s="114">
        <v>22639</v>
      </c>
      <c r="I41" s="114">
        <v>22262</v>
      </c>
      <c r="J41" s="9">
        <v>0</v>
      </c>
      <c r="K41" s="9">
        <v>0</v>
      </c>
      <c r="L41" s="115">
        <v>70645</v>
      </c>
      <c r="AC41" s="508"/>
      <c r="AD41" s="113"/>
      <c r="AE41" s="116" t="s">
        <v>316</v>
      </c>
      <c r="AF41" s="490" t="s">
        <v>10</v>
      </c>
      <c r="AG41" s="496"/>
      <c r="AH41" s="135">
        <v>28.5</v>
      </c>
      <c r="AI41" s="135">
        <v>3.9</v>
      </c>
      <c r="AJ41" s="135">
        <v>19.7</v>
      </c>
      <c r="AK41" s="135">
        <v>47.9</v>
      </c>
      <c r="AL41" s="136">
        <v>100</v>
      </c>
    </row>
    <row r="42" spans="1:48">
      <c r="A42" s="508"/>
      <c r="B42" s="112"/>
      <c r="C42" s="111" t="s">
        <v>289</v>
      </c>
      <c r="D42" s="515" t="s">
        <v>295</v>
      </c>
      <c r="E42" s="118" t="s">
        <v>21</v>
      </c>
      <c r="F42" s="114">
        <v>16661</v>
      </c>
      <c r="G42" s="114">
        <v>4977</v>
      </c>
      <c r="H42" s="114">
        <v>19027</v>
      </c>
      <c r="I42" s="114">
        <v>19076</v>
      </c>
      <c r="J42" s="9">
        <v>0</v>
      </c>
      <c r="K42" s="9">
        <v>0</v>
      </c>
      <c r="L42" s="115">
        <v>59741</v>
      </c>
      <c r="AC42" s="508"/>
      <c r="AD42" s="497" t="s">
        <v>250</v>
      </c>
      <c r="AE42" s="498"/>
      <c r="AF42" s="490" t="s">
        <v>9</v>
      </c>
      <c r="AG42" s="496"/>
      <c r="AH42" s="135">
        <v>37.1</v>
      </c>
      <c r="AI42" s="135">
        <v>9.6</v>
      </c>
      <c r="AJ42" s="135">
        <v>34.799999999999997</v>
      </c>
      <c r="AK42" s="135">
        <v>18.5</v>
      </c>
      <c r="AL42" s="136">
        <v>100</v>
      </c>
    </row>
    <row r="43" spans="1:48">
      <c r="A43" s="508"/>
      <c r="B43" s="112"/>
      <c r="C43" s="112"/>
      <c r="D43" s="494"/>
      <c r="E43" s="9" t="s">
        <v>296</v>
      </c>
      <c r="F43" s="114">
        <v>9511</v>
      </c>
      <c r="G43" s="114">
        <v>2841</v>
      </c>
      <c r="H43" s="114">
        <v>10863</v>
      </c>
      <c r="I43" s="114">
        <v>11872</v>
      </c>
      <c r="J43" s="9">
        <v>0</v>
      </c>
      <c r="K43" s="9">
        <v>0</v>
      </c>
      <c r="L43" s="115">
        <v>35088</v>
      </c>
      <c r="AC43" s="509"/>
      <c r="AD43" s="516"/>
      <c r="AE43" s="517"/>
      <c r="AF43" s="490" t="s">
        <v>10</v>
      </c>
      <c r="AG43" s="496"/>
      <c r="AH43" s="135">
        <v>34.9</v>
      </c>
      <c r="AI43" s="135">
        <v>9.3000000000000007</v>
      </c>
      <c r="AJ43" s="135">
        <v>35.799999999999997</v>
      </c>
      <c r="AK43" s="135">
        <v>19.899999999999999</v>
      </c>
      <c r="AL43" s="136">
        <v>100</v>
      </c>
    </row>
    <row r="44" spans="1:48" ht="29">
      <c r="A44" s="508"/>
      <c r="B44" s="112"/>
      <c r="C44" s="112"/>
      <c r="D44" s="495"/>
      <c r="E44" s="9" t="s">
        <v>297</v>
      </c>
      <c r="F44" s="114">
        <v>7149</v>
      </c>
      <c r="G44" s="114">
        <v>2136</v>
      </c>
      <c r="H44" s="114">
        <v>8165</v>
      </c>
      <c r="I44" s="114">
        <v>7204</v>
      </c>
      <c r="J44" s="9">
        <v>0</v>
      </c>
      <c r="K44" s="9">
        <v>0</v>
      </c>
      <c r="L44" s="115">
        <v>24653</v>
      </c>
      <c r="AC44" s="518" t="s">
        <v>306</v>
      </c>
      <c r="AD44" s="110" t="s">
        <v>313</v>
      </c>
      <c r="AE44" s="110" t="s">
        <v>291</v>
      </c>
      <c r="AF44" s="110" t="s">
        <v>314</v>
      </c>
      <c r="AG44" s="118" t="s">
        <v>44</v>
      </c>
      <c r="AH44" s="135">
        <v>40.799999999999997</v>
      </c>
      <c r="AI44" s="135">
        <v>5.9</v>
      </c>
      <c r="AJ44" s="135">
        <v>40</v>
      </c>
      <c r="AK44" s="135">
        <v>13.2</v>
      </c>
      <c r="AL44" s="136">
        <v>100</v>
      </c>
      <c r="AT44" t="s">
        <v>216</v>
      </c>
      <c r="AU44" t="s">
        <v>148</v>
      </c>
      <c r="AV44" s="32" t="s">
        <v>74</v>
      </c>
    </row>
    <row r="45" spans="1:48">
      <c r="A45" s="508"/>
      <c r="B45" s="112"/>
      <c r="C45" s="112"/>
      <c r="D45" s="110" t="s">
        <v>298</v>
      </c>
      <c r="E45" s="118" t="s">
        <v>21</v>
      </c>
      <c r="F45" s="114">
        <v>3162</v>
      </c>
      <c r="G45" s="117">
        <v>945</v>
      </c>
      <c r="H45" s="114">
        <v>3611</v>
      </c>
      <c r="I45" s="114">
        <v>3186</v>
      </c>
      <c r="J45" s="9">
        <v>0</v>
      </c>
      <c r="K45" s="9">
        <v>0</v>
      </c>
      <c r="L45" s="115">
        <v>10904</v>
      </c>
      <c r="AC45" s="508"/>
      <c r="AD45" s="111" t="s">
        <v>19</v>
      </c>
      <c r="AE45" s="111" t="s">
        <v>294</v>
      </c>
      <c r="AF45" s="111" t="s">
        <v>285</v>
      </c>
      <c r="AG45" s="118" t="s">
        <v>45</v>
      </c>
      <c r="AH45" s="135">
        <v>7.1</v>
      </c>
      <c r="AI45" s="135">
        <v>2.4</v>
      </c>
      <c r="AJ45" s="135">
        <v>39.200000000000003</v>
      </c>
      <c r="AK45" s="135">
        <v>51.3</v>
      </c>
      <c r="AL45" s="136">
        <v>100</v>
      </c>
      <c r="AT45" t="s">
        <v>135</v>
      </c>
      <c r="AU45" t="s">
        <v>73</v>
      </c>
      <c r="AV45" s="75"/>
    </row>
    <row r="46" spans="1:48" ht="29">
      <c r="A46" s="508"/>
      <c r="B46" s="112"/>
      <c r="C46" s="112"/>
      <c r="D46" s="111" t="s">
        <v>18</v>
      </c>
      <c r="E46" s="9" t="s">
        <v>297</v>
      </c>
      <c r="F46" s="114">
        <v>1150</v>
      </c>
      <c r="G46" s="117">
        <v>343</v>
      </c>
      <c r="H46" s="114">
        <v>1313</v>
      </c>
      <c r="I46" s="114">
        <v>1159</v>
      </c>
      <c r="J46" s="9">
        <v>0</v>
      </c>
      <c r="K46" s="9">
        <v>0</v>
      </c>
      <c r="L46" s="115">
        <v>3965</v>
      </c>
      <c r="AC46" s="508"/>
      <c r="AD46" s="112"/>
      <c r="AE46" s="112"/>
      <c r="AF46" s="113"/>
      <c r="AG46" s="118" t="s">
        <v>46</v>
      </c>
      <c r="AH46" s="135">
        <v>28.4</v>
      </c>
      <c r="AI46" s="135">
        <v>7.1</v>
      </c>
      <c r="AJ46" s="135">
        <v>40.799999999999997</v>
      </c>
      <c r="AK46" s="135">
        <v>23.8</v>
      </c>
      <c r="AL46" s="136">
        <v>100</v>
      </c>
      <c r="AT46" t="s">
        <v>135</v>
      </c>
      <c r="AU46" t="s">
        <v>217</v>
      </c>
      <c r="AV46" s="75"/>
    </row>
    <row r="47" spans="1:48">
      <c r="A47" s="508"/>
      <c r="B47" s="112"/>
      <c r="C47" s="113"/>
      <c r="D47" s="113"/>
      <c r="E47" s="9" t="s">
        <v>299</v>
      </c>
      <c r="F47" s="114">
        <v>2012</v>
      </c>
      <c r="G47" s="117">
        <v>601</v>
      </c>
      <c r="H47" s="114">
        <v>2298</v>
      </c>
      <c r="I47" s="114">
        <v>2028</v>
      </c>
      <c r="J47" s="9">
        <v>0</v>
      </c>
      <c r="K47" s="9">
        <v>0</v>
      </c>
      <c r="L47" s="115">
        <v>6939</v>
      </c>
      <c r="AC47" s="508"/>
      <c r="AD47" s="112"/>
      <c r="AE47" s="113"/>
      <c r="AF47" s="490" t="s">
        <v>166</v>
      </c>
      <c r="AG47" s="496"/>
      <c r="AH47" s="135">
        <v>25.4</v>
      </c>
      <c r="AI47" s="135">
        <v>7.5</v>
      </c>
      <c r="AJ47" s="135">
        <v>42</v>
      </c>
      <c r="AK47" s="135">
        <v>25.1</v>
      </c>
      <c r="AL47" s="136">
        <v>100</v>
      </c>
      <c r="AT47" t="s">
        <v>135</v>
      </c>
      <c r="AU47" t="s">
        <v>359</v>
      </c>
      <c r="AV47" s="75"/>
    </row>
    <row r="48" spans="1:48">
      <c r="A48" s="508"/>
      <c r="B48" s="113"/>
      <c r="C48" s="490" t="s">
        <v>13</v>
      </c>
      <c r="D48" s="491"/>
      <c r="E48" s="496"/>
      <c r="F48" s="9">
        <v>0</v>
      </c>
      <c r="G48" s="9">
        <v>0</v>
      </c>
      <c r="H48" s="9">
        <v>0</v>
      </c>
      <c r="I48" s="9">
        <v>0</v>
      </c>
      <c r="J48" s="114">
        <v>1639</v>
      </c>
      <c r="K48" s="114">
        <v>17330</v>
      </c>
      <c r="L48" s="115">
        <v>18969</v>
      </c>
      <c r="AC48" s="508"/>
      <c r="AD48" s="112"/>
      <c r="AE48" s="110" t="s">
        <v>315</v>
      </c>
      <c r="AF48" s="490" t="s">
        <v>9</v>
      </c>
      <c r="AG48" s="496"/>
      <c r="AH48" s="135">
        <v>26.7</v>
      </c>
      <c r="AI48" s="135">
        <v>1.9</v>
      </c>
      <c r="AJ48" s="135">
        <v>55.3</v>
      </c>
      <c r="AK48" s="135">
        <v>16.100000000000001</v>
      </c>
      <c r="AL48" s="136">
        <v>100</v>
      </c>
      <c r="AT48" t="s">
        <v>135</v>
      </c>
      <c r="AU48" t="s">
        <v>360</v>
      </c>
      <c r="AV48" s="75"/>
    </row>
    <row r="49" spans="1:48">
      <c r="A49" s="508"/>
      <c r="B49" s="110" t="s">
        <v>300</v>
      </c>
      <c r="C49" s="490" t="s">
        <v>301</v>
      </c>
      <c r="D49" s="491"/>
      <c r="E49" s="496"/>
      <c r="F49" s="9">
        <v>0</v>
      </c>
      <c r="G49" s="9">
        <v>0</v>
      </c>
      <c r="H49" s="9">
        <v>0</v>
      </c>
      <c r="I49" s="9">
        <v>0</v>
      </c>
      <c r="J49" s="114">
        <v>28783</v>
      </c>
      <c r="K49" s="114">
        <v>108761</v>
      </c>
      <c r="L49" s="115">
        <v>137544</v>
      </c>
      <c r="AC49" s="508"/>
      <c r="AD49" s="113"/>
      <c r="AE49" s="116" t="s">
        <v>316</v>
      </c>
      <c r="AF49" s="490" t="s">
        <v>10</v>
      </c>
      <c r="AG49" s="496"/>
      <c r="AH49" s="135">
        <v>28.7</v>
      </c>
      <c r="AI49" s="135">
        <v>3.9</v>
      </c>
      <c r="AJ49" s="135">
        <v>19.7</v>
      </c>
      <c r="AK49" s="135">
        <v>47.6</v>
      </c>
      <c r="AL49" s="136">
        <v>100</v>
      </c>
      <c r="AT49" t="s">
        <v>135</v>
      </c>
      <c r="AU49" t="s">
        <v>361</v>
      </c>
      <c r="AV49" s="75"/>
    </row>
    <row r="50" spans="1:48">
      <c r="A50" s="508"/>
      <c r="B50" s="111" t="s">
        <v>20</v>
      </c>
      <c r="C50" s="490" t="s">
        <v>302</v>
      </c>
      <c r="D50" s="491"/>
      <c r="E50" s="496"/>
      <c r="F50" s="9">
        <v>0</v>
      </c>
      <c r="G50" s="9">
        <v>0</v>
      </c>
      <c r="H50" s="9">
        <v>0</v>
      </c>
      <c r="I50" s="9">
        <v>0</v>
      </c>
      <c r="J50" s="117">
        <v>343</v>
      </c>
      <c r="K50" s="117">
        <v>357</v>
      </c>
      <c r="L50" s="120">
        <v>699</v>
      </c>
      <c r="AC50" s="508"/>
      <c r="AD50" s="497" t="s">
        <v>250</v>
      </c>
      <c r="AE50" s="498"/>
      <c r="AF50" s="490" t="s">
        <v>9</v>
      </c>
      <c r="AG50" s="496"/>
      <c r="AH50" s="135">
        <v>37.200000000000003</v>
      </c>
      <c r="AI50" s="135">
        <v>9.6999999999999993</v>
      </c>
      <c r="AJ50" s="135">
        <v>34.799999999999997</v>
      </c>
      <c r="AK50" s="135">
        <v>18.3</v>
      </c>
      <c r="AL50" s="136">
        <v>100</v>
      </c>
      <c r="AT50" t="s">
        <v>135</v>
      </c>
      <c r="AU50" t="s">
        <v>362</v>
      </c>
      <c r="AV50" s="75"/>
    </row>
    <row r="51" spans="1:48" ht="17.5" thickBot="1">
      <c r="A51" s="508"/>
      <c r="B51" s="111" t="s">
        <v>19</v>
      </c>
      <c r="C51" s="490" t="s">
        <v>303</v>
      </c>
      <c r="D51" s="491"/>
      <c r="E51" s="496"/>
      <c r="F51" s="9">
        <v>0</v>
      </c>
      <c r="G51" s="9">
        <v>0</v>
      </c>
      <c r="H51" s="9">
        <v>0</v>
      </c>
      <c r="I51" s="9">
        <v>0</v>
      </c>
      <c r="J51" s="117">
        <v>607</v>
      </c>
      <c r="K51" s="114">
        <v>7517</v>
      </c>
      <c r="L51" s="115">
        <v>8124</v>
      </c>
      <c r="AC51" s="511"/>
      <c r="AD51" s="499"/>
      <c r="AE51" s="500"/>
      <c r="AF51" s="501" t="s">
        <v>10</v>
      </c>
      <c r="AG51" s="502"/>
      <c r="AH51" s="137">
        <v>35.1</v>
      </c>
      <c r="AI51" s="137">
        <v>9.4</v>
      </c>
      <c r="AJ51" s="137">
        <v>35.700000000000003</v>
      </c>
      <c r="AK51" s="137">
        <v>19.8</v>
      </c>
      <c r="AL51" s="138">
        <v>100</v>
      </c>
      <c r="AT51" t="s">
        <v>135</v>
      </c>
      <c r="AU51" t="s">
        <v>363</v>
      </c>
      <c r="AV51" s="75"/>
    </row>
    <row r="52" spans="1:48" ht="17.5" thickTop="1">
      <c r="A52" s="508"/>
      <c r="B52" s="112"/>
      <c r="C52" s="490" t="s">
        <v>304</v>
      </c>
      <c r="D52" s="491"/>
      <c r="E52" s="496"/>
      <c r="F52" s="9">
        <v>0</v>
      </c>
      <c r="G52" s="9">
        <v>0</v>
      </c>
      <c r="H52" s="9">
        <v>0</v>
      </c>
      <c r="I52" s="9">
        <v>0</v>
      </c>
      <c r="J52" s="117">
        <v>56</v>
      </c>
      <c r="K52" s="9">
        <v>0</v>
      </c>
      <c r="L52" s="120">
        <v>56</v>
      </c>
      <c r="AT52" t="s">
        <v>370</v>
      </c>
      <c r="AU52" t="s">
        <v>371</v>
      </c>
      <c r="AV52" s="75"/>
    </row>
    <row r="53" spans="1:48">
      <c r="A53" s="508"/>
      <c r="B53" s="112"/>
      <c r="C53" s="490" t="s">
        <v>305</v>
      </c>
      <c r="D53" s="491"/>
      <c r="E53" s="496"/>
      <c r="F53" s="9">
        <v>0</v>
      </c>
      <c r="G53" s="9">
        <v>0</v>
      </c>
      <c r="H53" s="9">
        <v>0</v>
      </c>
      <c r="I53" s="9">
        <v>0</v>
      </c>
      <c r="J53" s="117">
        <v>173</v>
      </c>
      <c r="K53" s="114">
        <v>2196</v>
      </c>
      <c r="L53" s="115">
        <v>2369</v>
      </c>
      <c r="AT53" t="s">
        <v>370</v>
      </c>
      <c r="AU53" t="s">
        <v>76</v>
      </c>
      <c r="AV53" s="75"/>
    </row>
    <row r="54" spans="1:48" ht="17.5" thickBot="1">
      <c r="A54" s="511"/>
      <c r="B54" s="119"/>
      <c r="C54" s="501" t="s">
        <v>47</v>
      </c>
      <c r="D54" s="506"/>
      <c r="E54" s="502"/>
      <c r="F54" s="9">
        <v>0</v>
      </c>
      <c r="G54" s="9">
        <v>0</v>
      </c>
      <c r="H54" s="9">
        <v>0</v>
      </c>
      <c r="I54" s="9">
        <v>0</v>
      </c>
      <c r="J54" s="121">
        <v>14989</v>
      </c>
      <c r="K54" s="121">
        <v>45824</v>
      </c>
      <c r="L54" s="122">
        <v>60814</v>
      </c>
      <c r="AT54" t="s">
        <v>370</v>
      </c>
      <c r="AU54" t="s">
        <v>220</v>
      </c>
      <c r="AV54" s="75"/>
    </row>
    <row r="55" spans="1:48" ht="17.5" thickTop="1">
      <c r="AT55" t="s">
        <v>370</v>
      </c>
      <c r="AU55" t="s">
        <v>221</v>
      </c>
      <c r="AV55" s="75"/>
    </row>
    <row r="56" spans="1:48">
      <c r="AT56" t="s">
        <v>370</v>
      </c>
      <c r="AU56" t="s">
        <v>372</v>
      </c>
      <c r="AV56" s="75"/>
    </row>
    <row r="57" spans="1:48" ht="34">
      <c r="AT57" s="163" t="s">
        <v>374</v>
      </c>
      <c r="AU57" t="s">
        <v>373</v>
      </c>
      <c r="AV57" s="75"/>
    </row>
    <row r="58" spans="1:48" ht="23">
      <c r="A58" s="154" t="s">
        <v>333</v>
      </c>
      <c r="Z58" s="154" t="s">
        <v>336</v>
      </c>
      <c r="AJ58" s="102" t="s">
        <v>338</v>
      </c>
      <c r="AT58" t="s">
        <v>375</v>
      </c>
      <c r="AU58" t="s">
        <v>376</v>
      </c>
      <c r="AV58" s="75"/>
    </row>
    <row r="59" spans="1:48">
      <c r="A59" s="32" t="s">
        <v>308</v>
      </c>
      <c r="W59" t="s">
        <v>317</v>
      </c>
      <c r="Z59" s="32" t="s">
        <v>308</v>
      </c>
      <c r="AJ59" s="32" t="s">
        <v>308</v>
      </c>
      <c r="AT59" t="s">
        <v>375</v>
      </c>
      <c r="AU59" t="s">
        <v>79</v>
      </c>
      <c r="AV59" s="75"/>
    </row>
    <row r="60" spans="1:48" ht="18" customHeight="1" thickBot="1">
      <c r="F60" s="655" t="s">
        <v>319</v>
      </c>
      <c r="G60" s="655"/>
      <c r="H60" s="655"/>
      <c r="I60" s="655"/>
      <c r="J60" s="655"/>
      <c r="K60" s="655"/>
      <c r="L60" s="655" t="s">
        <v>320</v>
      </c>
      <c r="M60" s="655"/>
      <c r="N60" s="655"/>
      <c r="O60" s="655"/>
      <c r="P60" s="655"/>
      <c r="Q60" s="655"/>
      <c r="R60" s="655" t="s">
        <v>321</v>
      </c>
      <c r="S60" s="655"/>
      <c r="T60" s="655"/>
      <c r="U60" s="655"/>
      <c r="V60" s="655"/>
      <c r="W60" s="655"/>
      <c r="AE60" s="32" t="s">
        <v>334</v>
      </c>
      <c r="AF60" s="32" t="s">
        <v>335</v>
      </c>
      <c r="AG60" s="32" t="s">
        <v>321</v>
      </c>
      <c r="AO60" s="32" t="s">
        <v>334</v>
      </c>
      <c r="AP60" s="32" t="s">
        <v>335</v>
      </c>
      <c r="AQ60" s="32" t="s">
        <v>321</v>
      </c>
      <c r="AT60" t="s">
        <v>375</v>
      </c>
      <c r="AU60" t="s">
        <v>223</v>
      </c>
      <c r="AV60" s="75"/>
    </row>
    <row r="61" spans="1:48" ht="34">
      <c r="A61" s="484" t="s">
        <v>307</v>
      </c>
      <c r="B61" s="485"/>
      <c r="C61" s="485"/>
      <c r="D61" s="485"/>
      <c r="E61" s="486"/>
      <c r="F61" s="142" t="s">
        <v>165</v>
      </c>
      <c r="G61" s="143"/>
      <c r="H61" s="143"/>
      <c r="I61" s="485" t="s">
        <v>328</v>
      </c>
      <c r="J61" s="485" t="s">
        <v>329</v>
      </c>
      <c r="K61" s="485" t="s">
        <v>330</v>
      </c>
      <c r="L61" s="143"/>
      <c r="M61" s="143"/>
      <c r="N61" s="143"/>
      <c r="O61" s="485" t="s">
        <v>328</v>
      </c>
      <c r="P61" s="485" t="s">
        <v>329</v>
      </c>
      <c r="Q61" s="485" t="s">
        <v>330</v>
      </c>
      <c r="R61" s="143"/>
      <c r="S61" s="143"/>
      <c r="T61" s="144"/>
      <c r="U61" s="485" t="s">
        <v>328</v>
      </c>
      <c r="V61" s="485" t="s">
        <v>329</v>
      </c>
      <c r="W61" s="657" t="s">
        <v>330</v>
      </c>
      <c r="Z61" s="484" t="s">
        <v>307</v>
      </c>
      <c r="AA61" s="485"/>
      <c r="AB61" s="485"/>
      <c r="AC61" s="485"/>
      <c r="AD61" s="486"/>
      <c r="AJ61" s="484" t="s">
        <v>307</v>
      </c>
      <c r="AK61" s="485"/>
      <c r="AL61" s="485"/>
      <c r="AM61" s="485"/>
      <c r="AN61" s="486"/>
      <c r="AT61" s="163" t="s">
        <v>378</v>
      </c>
      <c r="AU61" t="s">
        <v>377</v>
      </c>
      <c r="AV61" s="75"/>
    </row>
    <row r="62" spans="1:48" ht="17.5" thickBot="1">
      <c r="A62" s="487"/>
      <c r="B62" s="488"/>
      <c r="C62" s="488"/>
      <c r="D62" s="488"/>
      <c r="E62" s="489"/>
      <c r="F62" s="148" t="s">
        <v>44</v>
      </c>
      <c r="G62" s="148" t="s">
        <v>45</v>
      </c>
      <c r="H62" s="148" t="s">
        <v>46</v>
      </c>
      <c r="I62" s="656"/>
      <c r="J62" s="656"/>
      <c r="K62" s="656"/>
      <c r="L62" s="148" t="s">
        <v>44</v>
      </c>
      <c r="M62" s="148" t="s">
        <v>45</v>
      </c>
      <c r="N62" s="148" t="s">
        <v>46</v>
      </c>
      <c r="O62" s="656"/>
      <c r="P62" s="656"/>
      <c r="Q62" s="656"/>
      <c r="R62" s="148" t="s">
        <v>44</v>
      </c>
      <c r="S62" s="148" t="s">
        <v>45</v>
      </c>
      <c r="T62" s="148" t="s">
        <v>46</v>
      </c>
      <c r="U62" s="656"/>
      <c r="V62" s="656"/>
      <c r="W62" s="658"/>
      <c r="Z62" s="487"/>
      <c r="AA62" s="488"/>
      <c r="AB62" s="488"/>
      <c r="AC62" s="488"/>
      <c r="AD62" s="489"/>
      <c r="AJ62" s="487"/>
      <c r="AK62" s="488"/>
      <c r="AL62" s="488"/>
      <c r="AM62" s="488"/>
      <c r="AN62" s="489"/>
      <c r="AT62" t="s">
        <v>379</v>
      </c>
      <c r="AU62" t="s">
        <v>380</v>
      </c>
      <c r="AV62" s="75"/>
    </row>
    <row r="63" spans="1:48" ht="17.5" thickTop="1">
      <c r="A63" s="145">
        <v>2023</v>
      </c>
      <c r="B63" s="110" t="s">
        <v>289</v>
      </c>
      <c r="C63" s="110"/>
      <c r="D63" s="490" t="s">
        <v>324</v>
      </c>
      <c r="E63" s="491"/>
      <c r="F63" s="149">
        <f>F21*P$22</f>
        <v>177.85900000000001</v>
      </c>
      <c r="G63" s="149">
        <f t="shared" ref="G63:I63" si="16">G21*Q$22</f>
        <v>9.1000000000000014</v>
      </c>
      <c r="H63" s="149">
        <f t="shared" si="16"/>
        <v>140.71799999999999</v>
      </c>
      <c r="I63" s="149">
        <f t="shared" si="16"/>
        <v>113.34399999999999</v>
      </c>
      <c r="J63" s="149">
        <f t="shared" ref="J63" si="17">J21*T$22</f>
        <v>0</v>
      </c>
      <c r="K63" s="149">
        <f t="shared" ref="K63" si="18">K21*U$22</f>
        <v>0</v>
      </c>
      <c r="L63" s="149">
        <f>F21*P$23</f>
        <v>25.783000000000001</v>
      </c>
      <c r="M63" s="149">
        <f>G21*Q$23</f>
        <v>3.12</v>
      </c>
      <c r="N63" s="149">
        <f>H21*R$23</f>
        <v>34.930000000000007</v>
      </c>
      <c r="O63" s="149">
        <f>I21*S$23</f>
        <v>33.152000000000001</v>
      </c>
      <c r="P63" s="149">
        <f t="shared" ref="P63:Q63" si="19">J21*T$23</f>
        <v>0</v>
      </c>
      <c r="Q63" s="149">
        <f t="shared" si="19"/>
        <v>0</v>
      </c>
      <c r="R63" s="101">
        <f>F21*P$24</f>
        <v>175.23700000000002</v>
      </c>
      <c r="S63" s="101">
        <f>G21*Q$24</f>
        <v>50.83</v>
      </c>
      <c r="T63" s="101">
        <f>H21*R$24</f>
        <v>203.59199999999998</v>
      </c>
      <c r="U63" s="101">
        <f>I21*S$24</f>
        <v>188.16</v>
      </c>
      <c r="V63" s="101">
        <f t="shared" ref="V63:W63" si="20">J21*T$24</f>
        <v>0</v>
      </c>
      <c r="W63" s="150">
        <f t="shared" si="20"/>
        <v>0</v>
      </c>
      <c r="Z63" s="145">
        <v>2023</v>
      </c>
      <c r="AA63" s="110" t="s">
        <v>289</v>
      </c>
      <c r="AB63" s="110"/>
      <c r="AC63" s="490" t="s">
        <v>324</v>
      </c>
      <c r="AD63" s="491"/>
      <c r="AE63" s="34">
        <f>SUM(F63:K63)</f>
        <v>441.02100000000002</v>
      </c>
      <c r="AF63" s="34">
        <f>SUM(L63:Q63)</f>
        <v>96.985000000000014</v>
      </c>
      <c r="AG63" s="34">
        <f>SUM(R63:W63)</f>
        <v>617.81899999999996</v>
      </c>
      <c r="AI63" t="s">
        <v>364</v>
      </c>
      <c r="AJ63" s="145">
        <v>2023</v>
      </c>
      <c r="AK63" s="110" t="s">
        <v>289</v>
      </c>
      <c r="AL63" s="110"/>
      <c r="AM63" s="490" t="s">
        <v>324</v>
      </c>
      <c r="AN63" s="491"/>
      <c r="AO63" s="159">
        <f>AE63/$P$31</f>
        <v>277.37169811320751</v>
      </c>
      <c r="AP63" s="159">
        <f>AF63/$Q$31</f>
        <v>57.050000000000011</v>
      </c>
      <c r="AQ63" s="159">
        <f>AG63/$R$31</f>
        <v>20.593966666666667</v>
      </c>
      <c r="AT63" t="s">
        <v>379</v>
      </c>
      <c r="AU63" t="s">
        <v>381</v>
      </c>
      <c r="AV63" s="75"/>
    </row>
    <row r="64" spans="1:48">
      <c r="A64" s="145"/>
      <c r="B64" s="111" t="s">
        <v>290</v>
      </c>
      <c r="C64" s="112"/>
      <c r="D64" s="494" t="s">
        <v>322</v>
      </c>
      <c r="E64" s="41" t="s">
        <v>296</v>
      </c>
      <c r="F64" s="149">
        <f>F25*P$22</f>
        <v>3870.9770000000003</v>
      </c>
      <c r="G64" s="149">
        <f t="shared" ref="G64:I64" si="21">G25*Q$22</f>
        <v>198.87000000000003</v>
      </c>
      <c r="H64" s="149">
        <f t="shared" si="21"/>
        <v>3063.3659999999995</v>
      </c>
      <c r="I64" s="149">
        <f t="shared" si="21"/>
        <v>3060.5410000000002</v>
      </c>
      <c r="J64" s="149">
        <f t="shared" ref="J64:J65" si="22">J25*T$22</f>
        <v>0</v>
      </c>
      <c r="K64" s="149">
        <f t="shared" ref="K64:K65" si="23">K25*U$22</f>
        <v>0</v>
      </c>
      <c r="L64" s="101">
        <f t="shared" ref="L64:O65" si="24">F25*P$23</f>
        <v>561.149</v>
      </c>
      <c r="M64" s="101">
        <f t="shared" si="24"/>
        <v>68.183999999999997</v>
      </c>
      <c r="N64" s="101">
        <f t="shared" si="24"/>
        <v>760.41000000000008</v>
      </c>
      <c r="O64" s="101">
        <f t="shared" si="24"/>
        <v>895.17800000000011</v>
      </c>
      <c r="P64" s="101">
        <f t="shared" ref="P64:Q64" si="25">J25*T$23</f>
        <v>0</v>
      </c>
      <c r="Q64" s="101">
        <f t="shared" si="25"/>
        <v>0</v>
      </c>
      <c r="R64" s="101">
        <f t="shared" ref="R64:U65" si="26">F25*P$24</f>
        <v>3813.9110000000001</v>
      </c>
      <c r="S64" s="101">
        <f t="shared" si="26"/>
        <v>1110.8310000000001</v>
      </c>
      <c r="T64" s="101">
        <f t="shared" si="26"/>
        <v>4432.1039999999994</v>
      </c>
      <c r="U64" s="101">
        <f t="shared" si="26"/>
        <v>5080.74</v>
      </c>
      <c r="V64" s="101">
        <f t="shared" ref="V64:W64" si="27">J25*T$24</f>
        <v>0</v>
      </c>
      <c r="W64" s="150">
        <f t="shared" si="27"/>
        <v>0</v>
      </c>
      <c r="Z64" s="145"/>
      <c r="AA64" s="111" t="s">
        <v>290</v>
      </c>
      <c r="AB64" s="112"/>
      <c r="AC64" s="494" t="s">
        <v>322</v>
      </c>
      <c r="AD64" s="41" t="s">
        <v>296</v>
      </c>
      <c r="AE64" s="34">
        <f t="shared" ref="AE64:AE74" si="28">SUM(F64:K64)</f>
        <v>10193.754000000001</v>
      </c>
      <c r="AF64" s="34">
        <f t="shared" ref="AF64:AF74" si="29">SUM(L64:Q64)</f>
        <v>2284.9210000000003</v>
      </c>
      <c r="AG64" s="34">
        <f t="shared" ref="AG64:AG74" si="30">SUM(R64:W64)</f>
        <v>14437.585999999999</v>
      </c>
      <c r="AI64" t="s">
        <v>365</v>
      </c>
      <c r="AJ64" s="145"/>
      <c r="AK64" s="111" t="s">
        <v>290</v>
      </c>
      <c r="AL64" s="112"/>
      <c r="AM64" s="494" t="s">
        <v>322</v>
      </c>
      <c r="AN64" s="41" t="s">
        <v>296</v>
      </c>
      <c r="AO64" s="159">
        <f t="shared" ref="AO64:AO74" si="31">AE64/$P$31</f>
        <v>6411.1660377358494</v>
      </c>
      <c r="AP64" s="159">
        <f t="shared" ref="AP64:AP74" si="32">AF64/$Q$31</f>
        <v>1344.0711764705884</v>
      </c>
      <c r="AQ64" s="159">
        <f t="shared" ref="AQ64:AQ74" si="33">AG64/$R$31</f>
        <v>481.25286666666665</v>
      </c>
      <c r="AT64" t="s">
        <v>379</v>
      </c>
      <c r="AU64" t="s">
        <v>382</v>
      </c>
      <c r="AV64" s="75"/>
    </row>
    <row r="65" spans="1:48" ht="29">
      <c r="A65" s="145"/>
      <c r="B65" s="111" t="s">
        <v>19</v>
      </c>
      <c r="C65" s="112"/>
      <c r="D65" s="495"/>
      <c r="E65" s="41" t="s">
        <v>297</v>
      </c>
      <c r="F65" s="149">
        <f>F26*P$22</f>
        <v>2909.643</v>
      </c>
      <c r="G65" s="149">
        <f t="shared" ref="G65:I65" si="34">G26*Q$22</f>
        <v>149.52000000000001</v>
      </c>
      <c r="H65" s="149">
        <f t="shared" si="34"/>
        <v>2302.5299999999997</v>
      </c>
      <c r="I65" s="149">
        <f t="shared" si="34"/>
        <v>1857.02</v>
      </c>
      <c r="J65" s="149">
        <f t="shared" si="22"/>
        <v>0</v>
      </c>
      <c r="K65" s="149">
        <f t="shared" si="23"/>
        <v>0</v>
      </c>
      <c r="L65" s="101">
        <f t="shared" si="24"/>
        <v>421.79100000000005</v>
      </c>
      <c r="M65" s="101">
        <f t="shared" si="24"/>
        <v>51.264000000000003</v>
      </c>
      <c r="N65" s="101">
        <f t="shared" si="24"/>
        <v>571.55000000000007</v>
      </c>
      <c r="O65" s="101">
        <f t="shared" si="24"/>
        <v>543.16000000000008</v>
      </c>
      <c r="P65" s="101">
        <f t="shared" ref="P65:Q65" si="35">J26*T$23</f>
        <v>0</v>
      </c>
      <c r="Q65" s="101">
        <f t="shared" si="35"/>
        <v>0</v>
      </c>
      <c r="R65" s="101">
        <f t="shared" si="26"/>
        <v>2866.7490000000003</v>
      </c>
      <c r="S65" s="101">
        <f t="shared" si="26"/>
        <v>835.17600000000004</v>
      </c>
      <c r="T65" s="101">
        <f t="shared" si="26"/>
        <v>3331.3199999999997</v>
      </c>
      <c r="U65" s="101">
        <f t="shared" si="26"/>
        <v>3082.7999999999997</v>
      </c>
      <c r="V65" s="101">
        <f t="shared" ref="V65:W65" si="36">J26*T$24</f>
        <v>0</v>
      </c>
      <c r="W65" s="150">
        <f t="shared" si="36"/>
        <v>0</v>
      </c>
      <c r="Z65" s="145"/>
      <c r="AA65" s="111" t="s">
        <v>19</v>
      </c>
      <c r="AB65" s="112"/>
      <c r="AC65" s="495"/>
      <c r="AD65" s="41" t="s">
        <v>297</v>
      </c>
      <c r="AE65" s="34">
        <f t="shared" si="28"/>
        <v>7218.7129999999997</v>
      </c>
      <c r="AF65" s="34">
        <f t="shared" si="29"/>
        <v>1587.7650000000001</v>
      </c>
      <c r="AG65" s="34">
        <f t="shared" si="30"/>
        <v>10116.045</v>
      </c>
      <c r="AI65" t="s">
        <v>366</v>
      </c>
      <c r="AJ65" s="145"/>
      <c r="AK65" s="111" t="s">
        <v>19</v>
      </c>
      <c r="AL65" s="112"/>
      <c r="AM65" s="495"/>
      <c r="AN65" s="41" t="s">
        <v>297</v>
      </c>
      <c r="AO65" s="159">
        <f t="shared" si="31"/>
        <v>4540.0710691823897</v>
      </c>
      <c r="AP65" s="159">
        <f t="shared" si="32"/>
        <v>933.97941176470601</v>
      </c>
      <c r="AQ65" s="159">
        <f t="shared" si="33"/>
        <v>337.20150000000001</v>
      </c>
      <c r="AT65" t="s">
        <v>379</v>
      </c>
      <c r="AU65" t="s">
        <v>383</v>
      </c>
      <c r="AV65" s="75"/>
    </row>
    <row r="66" spans="1:48" ht="16.5" customHeight="1">
      <c r="A66" s="145"/>
      <c r="B66" s="112"/>
      <c r="C66" s="112"/>
      <c r="D66" s="111" t="s">
        <v>323</v>
      </c>
      <c r="E66" s="41" t="s">
        <v>297</v>
      </c>
      <c r="F66" s="149">
        <f t="shared" ref="F66:F74" si="37">F28*P$22</f>
        <v>468.05</v>
      </c>
      <c r="G66" s="149">
        <f t="shared" ref="G66:I66" si="38">G28*Q$22</f>
        <v>24.01</v>
      </c>
      <c r="H66" s="149">
        <f t="shared" si="38"/>
        <v>370.26599999999996</v>
      </c>
      <c r="I66" s="149">
        <f t="shared" si="38"/>
        <v>298.79300000000001</v>
      </c>
      <c r="J66" s="149">
        <f t="shared" ref="J66:J67" si="39">J28*T$22</f>
        <v>0</v>
      </c>
      <c r="K66" s="149">
        <f t="shared" ref="K66:K67" si="40">K28*U$22</f>
        <v>0</v>
      </c>
      <c r="L66" s="101">
        <f t="shared" ref="L66:L74" si="41">F28*P$23</f>
        <v>67.850000000000009</v>
      </c>
      <c r="M66" s="101">
        <f t="shared" ref="M66:M74" si="42">G28*Q$23</f>
        <v>8.2319999999999993</v>
      </c>
      <c r="N66" s="101">
        <f t="shared" ref="N66:N74" si="43">H28*R$23</f>
        <v>91.910000000000011</v>
      </c>
      <c r="O66" s="101">
        <f t="shared" ref="O66:O74" si="44">I28*S$23</f>
        <v>87.394000000000005</v>
      </c>
      <c r="P66" s="101">
        <f t="shared" ref="P66:Q66" si="45">J28*T$23</f>
        <v>0</v>
      </c>
      <c r="Q66" s="101">
        <f t="shared" si="45"/>
        <v>0</v>
      </c>
      <c r="R66" s="101">
        <f t="shared" ref="R66:R74" si="46">F28*P$24</f>
        <v>461.15000000000003</v>
      </c>
      <c r="S66" s="101">
        <f t="shared" ref="S66:S74" si="47">G28*Q$24</f>
        <v>134.113</v>
      </c>
      <c r="T66" s="101">
        <f t="shared" ref="T66:T74" si="48">H28*R$24</f>
        <v>535.70399999999995</v>
      </c>
      <c r="U66" s="101">
        <f t="shared" ref="U66:U74" si="49">I28*S$24</f>
        <v>496.02</v>
      </c>
      <c r="V66" s="101">
        <f t="shared" ref="V66:W66" si="50">J28*T$24</f>
        <v>0</v>
      </c>
      <c r="W66" s="150">
        <f t="shared" si="50"/>
        <v>0</v>
      </c>
      <c r="Z66" s="145"/>
      <c r="AA66" s="112"/>
      <c r="AB66" s="112"/>
      <c r="AC66" s="111" t="s">
        <v>323</v>
      </c>
      <c r="AD66" s="41" t="s">
        <v>297</v>
      </c>
      <c r="AE66" s="34">
        <f t="shared" si="28"/>
        <v>1161.1190000000001</v>
      </c>
      <c r="AF66" s="34">
        <f t="shared" si="29"/>
        <v>255.38600000000002</v>
      </c>
      <c r="AG66" s="34">
        <f t="shared" si="30"/>
        <v>1626.9870000000001</v>
      </c>
      <c r="AI66" t="s">
        <v>367</v>
      </c>
      <c r="AJ66" s="145"/>
      <c r="AK66" s="112"/>
      <c r="AL66" s="112"/>
      <c r="AM66" s="111" t="s">
        <v>323</v>
      </c>
      <c r="AN66" s="41" t="s">
        <v>297</v>
      </c>
      <c r="AO66" s="159">
        <f t="shared" si="31"/>
        <v>730.26352201257862</v>
      </c>
      <c r="AP66" s="159">
        <f t="shared" si="32"/>
        <v>150.22705882352943</v>
      </c>
      <c r="AQ66" s="159">
        <f t="shared" si="33"/>
        <v>54.232900000000001</v>
      </c>
      <c r="AT66" t="s">
        <v>384</v>
      </c>
      <c r="AU66" t="s">
        <v>385</v>
      </c>
      <c r="AV66" s="75"/>
    </row>
    <row r="67" spans="1:48">
      <c r="A67" s="145"/>
      <c r="B67" s="112"/>
      <c r="C67" s="113"/>
      <c r="D67" s="113"/>
      <c r="E67" s="41" t="s">
        <v>299</v>
      </c>
      <c r="F67" s="149">
        <f t="shared" si="37"/>
        <v>818.88400000000001</v>
      </c>
      <c r="G67" s="149">
        <f t="shared" ref="G67" si="51">G29*Q$22</f>
        <v>42.070000000000007</v>
      </c>
      <c r="H67" s="149">
        <f t="shared" ref="H67" si="52">H29*R$22</f>
        <v>648.03599999999994</v>
      </c>
      <c r="I67" s="149">
        <f t="shared" ref="I67" si="53">I29*S$22</f>
        <v>522.69799999999998</v>
      </c>
      <c r="J67" s="149">
        <f t="shared" si="39"/>
        <v>0</v>
      </c>
      <c r="K67" s="149">
        <f t="shared" si="40"/>
        <v>0</v>
      </c>
      <c r="L67" s="101">
        <f t="shared" si="41"/>
        <v>118.70800000000001</v>
      </c>
      <c r="M67" s="101">
        <f t="shared" si="42"/>
        <v>14.423999999999999</v>
      </c>
      <c r="N67" s="101">
        <f t="shared" si="43"/>
        <v>160.86000000000001</v>
      </c>
      <c r="O67" s="101">
        <f t="shared" si="44"/>
        <v>152.88400000000001</v>
      </c>
      <c r="P67" s="101">
        <f t="shared" ref="P67:Q67" si="54">J29*T$23</f>
        <v>0</v>
      </c>
      <c r="Q67" s="101">
        <f t="shared" si="54"/>
        <v>0</v>
      </c>
      <c r="R67" s="101">
        <f t="shared" si="46"/>
        <v>806.81200000000001</v>
      </c>
      <c r="S67" s="101">
        <f t="shared" si="47"/>
        <v>234.99100000000001</v>
      </c>
      <c r="T67" s="101">
        <f t="shared" si="48"/>
        <v>937.58399999999995</v>
      </c>
      <c r="U67" s="101">
        <f t="shared" si="49"/>
        <v>867.71999999999991</v>
      </c>
      <c r="V67" s="101">
        <f t="shared" ref="V67:W67" si="55">J29*T$24</f>
        <v>0</v>
      </c>
      <c r="W67" s="150">
        <f t="shared" si="55"/>
        <v>0</v>
      </c>
      <c r="Z67" s="145"/>
      <c r="AA67" s="112"/>
      <c r="AB67" s="113"/>
      <c r="AC67" s="113"/>
      <c r="AD67" s="41" t="s">
        <v>299</v>
      </c>
      <c r="AE67" s="34">
        <f t="shared" si="28"/>
        <v>2031.6880000000001</v>
      </c>
      <c r="AF67" s="34">
        <f t="shared" si="29"/>
        <v>446.87600000000003</v>
      </c>
      <c r="AG67" s="34">
        <f t="shared" si="30"/>
        <v>2847.107</v>
      </c>
      <c r="AJ67" s="145"/>
      <c r="AK67" s="112"/>
      <c r="AL67" s="113"/>
      <c r="AM67" s="113"/>
      <c r="AN67" s="41" t="s">
        <v>299</v>
      </c>
      <c r="AO67" s="159">
        <f t="shared" si="31"/>
        <v>1277.7911949685536</v>
      </c>
      <c r="AP67" s="159">
        <f t="shared" si="32"/>
        <v>262.86823529411765</v>
      </c>
      <c r="AQ67" s="159">
        <f t="shared" si="33"/>
        <v>94.903566666666663</v>
      </c>
      <c r="AT67" t="s">
        <v>384</v>
      </c>
      <c r="AU67" t="s">
        <v>103</v>
      </c>
      <c r="AV67" s="75"/>
    </row>
    <row r="68" spans="1:48">
      <c r="A68" s="145"/>
      <c r="B68" s="113"/>
      <c r="C68" s="490" t="s">
        <v>13</v>
      </c>
      <c r="D68" s="491"/>
      <c r="E68" s="491"/>
      <c r="F68" s="149">
        <f t="shared" si="37"/>
        <v>0</v>
      </c>
      <c r="G68" s="149">
        <f t="shared" ref="G68" si="56">G30*Q$22</f>
        <v>0</v>
      </c>
      <c r="H68" s="149">
        <f t="shared" ref="H68" si="57">H30*R$22</f>
        <v>0</v>
      </c>
      <c r="I68" s="149">
        <f t="shared" ref="I68" si="58">I30*S$22</f>
        <v>0</v>
      </c>
      <c r="J68" s="149">
        <f t="shared" ref="J68" si="59">J30*T$22</f>
        <v>435.97400000000005</v>
      </c>
      <c r="K68" s="149">
        <f t="shared" ref="K68" si="60">K30*U$22</f>
        <v>5032.2450000000008</v>
      </c>
      <c r="L68" s="101">
        <f t="shared" si="41"/>
        <v>0</v>
      </c>
      <c r="M68" s="101">
        <f t="shared" si="42"/>
        <v>0</v>
      </c>
      <c r="N68" s="101">
        <f t="shared" si="43"/>
        <v>0</v>
      </c>
      <c r="O68" s="101">
        <f t="shared" si="44"/>
        <v>0</v>
      </c>
      <c r="P68" s="101">
        <f t="shared" ref="P68" si="61">J30*T$23</f>
        <v>31.140999999999998</v>
      </c>
      <c r="Q68" s="101">
        <f t="shared" ref="Q68" si="62">K30*U$23</f>
        <v>688.62300000000005</v>
      </c>
      <c r="R68" s="101">
        <f t="shared" si="46"/>
        <v>0</v>
      </c>
      <c r="S68" s="101">
        <f t="shared" si="47"/>
        <v>0</v>
      </c>
      <c r="T68" s="101">
        <f t="shared" si="48"/>
        <v>0</v>
      </c>
      <c r="U68" s="101">
        <f t="shared" si="49"/>
        <v>0</v>
      </c>
      <c r="V68" s="101">
        <f t="shared" ref="V68" si="63">J30*T$24</f>
        <v>906.36699999999985</v>
      </c>
      <c r="W68" s="150">
        <f t="shared" ref="W68" si="64">K30*U$24</f>
        <v>3478.4290000000001</v>
      </c>
      <c r="Z68" s="145"/>
      <c r="AA68" s="113"/>
      <c r="AB68" s="490" t="s">
        <v>13</v>
      </c>
      <c r="AC68" s="491"/>
      <c r="AD68" s="491"/>
      <c r="AE68" s="34">
        <f t="shared" si="28"/>
        <v>5468.219000000001</v>
      </c>
      <c r="AF68" s="34">
        <f t="shared" si="29"/>
        <v>719.76400000000001</v>
      </c>
      <c r="AG68" s="34">
        <f t="shared" si="30"/>
        <v>4384.7960000000003</v>
      </c>
      <c r="AI68" t="s">
        <v>387</v>
      </c>
      <c r="AJ68" s="145"/>
      <c r="AK68" s="113"/>
      <c r="AL68" s="490" t="s">
        <v>13</v>
      </c>
      <c r="AM68" s="491"/>
      <c r="AN68" s="491"/>
      <c r="AO68" s="159">
        <f t="shared" si="31"/>
        <v>3439.1314465408809</v>
      </c>
      <c r="AP68" s="159">
        <f t="shared" si="32"/>
        <v>423.39058823529416</v>
      </c>
      <c r="AQ68" s="159">
        <f t="shared" si="33"/>
        <v>146.15986666666669</v>
      </c>
      <c r="AT68" t="s">
        <v>384</v>
      </c>
      <c r="AU68" t="s">
        <v>104</v>
      </c>
      <c r="AV68" s="75"/>
    </row>
    <row r="69" spans="1:48">
      <c r="A69" s="145"/>
      <c r="B69" s="110" t="s">
        <v>300</v>
      </c>
      <c r="C69" s="490" t="s">
        <v>301</v>
      </c>
      <c r="D69" s="491"/>
      <c r="E69" s="491"/>
      <c r="F69" s="149">
        <f t="shared" si="37"/>
        <v>0</v>
      </c>
      <c r="G69" s="149">
        <f t="shared" ref="G69:G74" si="65">G31*Q$22</f>
        <v>0</v>
      </c>
      <c r="H69" s="149">
        <f t="shared" ref="H69:H74" si="66">H31*R$22</f>
        <v>0</v>
      </c>
      <c r="I69" s="149">
        <f t="shared" ref="I69:I74" si="67">I31*S$22</f>
        <v>0</v>
      </c>
      <c r="J69" s="149">
        <f t="shared" ref="J69:J74" si="68">J31*T$22</f>
        <v>7656.2780000000002</v>
      </c>
      <c r="K69" s="149">
        <f t="shared" ref="K69:K74" si="69">K31*U$22</f>
        <v>31583.415000000005</v>
      </c>
      <c r="L69" s="101">
        <f t="shared" si="41"/>
        <v>0</v>
      </c>
      <c r="M69" s="101">
        <f t="shared" si="42"/>
        <v>0</v>
      </c>
      <c r="N69" s="101">
        <f t="shared" si="43"/>
        <v>0</v>
      </c>
      <c r="O69" s="101">
        <f t="shared" si="44"/>
        <v>0</v>
      </c>
      <c r="P69" s="101">
        <f t="shared" ref="P69:P74" si="70">J31*T$23</f>
        <v>546.87699999999995</v>
      </c>
      <c r="Q69" s="101">
        <f t="shared" ref="Q69:Q74" si="71">K31*U$23</f>
        <v>4321.9409999999998</v>
      </c>
      <c r="R69" s="101">
        <f t="shared" si="46"/>
        <v>0</v>
      </c>
      <c r="S69" s="101">
        <f t="shared" si="47"/>
        <v>0</v>
      </c>
      <c r="T69" s="101">
        <f t="shared" si="48"/>
        <v>0</v>
      </c>
      <c r="U69" s="101">
        <f t="shared" si="49"/>
        <v>0</v>
      </c>
      <c r="V69" s="101">
        <f t="shared" ref="V69:V74" si="72">J31*T$24</f>
        <v>15916.998999999998</v>
      </c>
      <c r="W69" s="150">
        <f t="shared" ref="W69:W74" si="73">K31*U$24</f>
        <v>21831.343000000001</v>
      </c>
      <c r="Z69" s="145"/>
      <c r="AA69" s="110" t="s">
        <v>300</v>
      </c>
      <c r="AB69" s="490" t="s">
        <v>301</v>
      </c>
      <c r="AC69" s="491"/>
      <c r="AD69" s="491"/>
      <c r="AE69" s="34">
        <f t="shared" si="28"/>
        <v>39239.693000000007</v>
      </c>
      <c r="AF69" s="34">
        <f t="shared" si="29"/>
        <v>4868.8179999999993</v>
      </c>
      <c r="AG69" s="34">
        <f t="shared" si="30"/>
        <v>37748.341999999997</v>
      </c>
      <c r="AI69" t="s">
        <v>368</v>
      </c>
      <c r="AJ69" s="145"/>
      <c r="AK69" s="110" t="s">
        <v>300</v>
      </c>
      <c r="AL69" s="490" t="s">
        <v>301</v>
      </c>
      <c r="AM69" s="491"/>
      <c r="AN69" s="491"/>
      <c r="AO69" s="159">
        <f t="shared" si="31"/>
        <v>24679.052201257866</v>
      </c>
      <c r="AP69" s="159">
        <f t="shared" si="32"/>
        <v>2864.0105882352937</v>
      </c>
      <c r="AQ69" s="159">
        <f t="shared" si="33"/>
        <v>1258.2780666666665</v>
      </c>
      <c r="AT69" t="s">
        <v>384</v>
      </c>
      <c r="AU69" t="s">
        <v>117</v>
      </c>
      <c r="AV69" s="75"/>
    </row>
    <row r="70" spans="1:48" ht="16.5" customHeight="1">
      <c r="A70" s="145"/>
      <c r="B70" s="111" t="s">
        <v>20</v>
      </c>
      <c r="C70" s="490" t="s">
        <v>302</v>
      </c>
      <c r="D70" s="491"/>
      <c r="E70" s="491"/>
      <c r="F70" s="149">
        <f t="shared" si="37"/>
        <v>0</v>
      </c>
      <c r="G70" s="149">
        <f t="shared" si="65"/>
        <v>0</v>
      </c>
      <c r="H70" s="149">
        <f t="shared" si="66"/>
        <v>0</v>
      </c>
      <c r="I70" s="149">
        <f t="shared" si="67"/>
        <v>0</v>
      </c>
      <c r="J70" s="149">
        <f t="shared" si="68"/>
        <v>91.238</v>
      </c>
      <c r="K70" s="149">
        <f t="shared" si="69"/>
        <v>103.45500000000001</v>
      </c>
      <c r="L70" s="101">
        <f t="shared" si="41"/>
        <v>0</v>
      </c>
      <c r="M70" s="101">
        <f t="shared" si="42"/>
        <v>0</v>
      </c>
      <c r="N70" s="101">
        <f t="shared" si="43"/>
        <v>0</v>
      </c>
      <c r="O70" s="101">
        <f t="shared" si="44"/>
        <v>0</v>
      </c>
      <c r="P70" s="101">
        <f t="shared" si="70"/>
        <v>6.5169999999999995</v>
      </c>
      <c r="Q70" s="101">
        <f t="shared" si="71"/>
        <v>14.157</v>
      </c>
      <c r="R70" s="101">
        <f t="shared" si="46"/>
        <v>0</v>
      </c>
      <c r="S70" s="101">
        <f t="shared" si="47"/>
        <v>0</v>
      </c>
      <c r="T70" s="101">
        <f t="shared" si="48"/>
        <v>0</v>
      </c>
      <c r="U70" s="101">
        <f t="shared" si="49"/>
        <v>0</v>
      </c>
      <c r="V70" s="101">
        <f t="shared" si="72"/>
        <v>189.67899999999997</v>
      </c>
      <c r="W70" s="150">
        <f t="shared" si="73"/>
        <v>71.51100000000001</v>
      </c>
      <c r="Z70" s="145"/>
      <c r="AA70" s="111" t="s">
        <v>20</v>
      </c>
      <c r="AB70" s="490" t="s">
        <v>302</v>
      </c>
      <c r="AC70" s="491"/>
      <c r="AD70" s="491"/>
      <c r="AE70" s="34">
        <f t="shared" si="28"/>
        <v>194.69300000000001</v>
      </c>
      <c r="AF70" s="34">
        <f t="shared" si="29"/>
        <v>20.673999999999999</v>
      </c>
      <c r="AG70" s="34">
        <f t="shared" si="30"/>
        <v>261.19</v>
      </c>
      <c r="AI70" t="s">
        <v>369</v>
      </c>
      <c r="AJ70" s="145"/>
      <c r="AK70" s="111" t="s">
        <v>20</v>
      </c>
      <c r="AL70" s="490" t="s">
        <v>302</v>
      </c>
      <c r="AM70" s="491"/>
      <c r="AN70" s="491"/>
      <c r="AO70" s="159">
        <f t="shared" si="31"/>
        <v>122.44842767295597</v>
      </c>
      <c r="AP70" s="159">
        <f t="shared" si="32"/>
        <v>12.161176470588236</v>
      </c>
      <c r="AQ70" s="159">
        <f t="shared" si="33"/>
        <v>8.7063333333333333</v>
      </c>
      <c r="AT70" t="s">
        <v>384</v>
      </c>
      <c r="AU70" t="s">
        <v>118</v>
      </c>
      <c r="AV70" s="75"/>
    </row>
    <row r="71" spans="1:48" ht="17.25" customHeight="1">
      <c r="A71" s="145"/>
      <c r="B71" s="111" t="s">
        <v>19</v>
      </c>
      <c r="C71" s="490" t="s">
        <v>303</v>
      </c>
      <c r="D71" s="491"/>
      <c r="E71" s="491"/>
      <c r="F71" s="149">
        <f t="shared" si="37"/>
        <v>0</v>
      </c>
      <c r="G71" s="149">
        <f t="shared" si="65"/>
        <v>0</v>
      </c>
      <c r="H71" s="149">
        <f t="shared" si="66"/>
        <v>0</v>
      </c>
      <c r="I71" s="149">
        <f t="shared" si="67"/>
        <v>0</v>
      </c>
      <c r="J71" s="149">
        <f t="shared" si="68"/>
        <v>161.46200000000002</v>
      </c>
      <c r="K71" s="149">
        <f t="shared" si="69"/>
        <v>2182.8150000000001</v>
      </c>
      <c r="L71" s="101">
        <f t="shared" si="41"/>
        <v>0</v>
      </c>
      <c r="M71" s="101">
        <f t="shared" si="42"/>
        <v>0</v>
      </c>
      <c r="N71" s="101">
        <f t="shared" si="43"/>
        <v>0</v>
      </c>
      <c r="O71" s="101">
        <f t="shared" si="44"/>
        <v>0</v>
      </c>
      <c r="P71" s="101">
        <f t="shared" si="70"/>
        <v>11.532999999999999</v>
      </c>
      <c r="Q71" s="101">
        <f t="shared" si="71"/>
        <v>298.70100000000002</v>
      </c>
      <c r="R71" s="101">
        <f t="shared" si="46"/>
        <v>0</v>
      </c>
      <c r="S71" s="101">
        <f t="shared" si="47"/>
        <v>0</v>
      </c>
      <c r="T71" s="101">
        <f t="shared" si="48"/>
        <v>0</v>
      </c>
      <c r="U71" s="101">
        <f t="shared" si="49"/>
        <v>0</v>
      </c>
      <c r="V71" s="101">
        <f t="shared" si="72"/>
        <v>335.67099999999994</v>
      </c>
      <c r="W71" s="150">
        <f t="shared" si="73"/>
        <v>1508.8230000000001</v>
      </c>
      <c r="Z71" s="145"/>
      <c r="AA71" s="111" t="s">
        <v>19</v>
      </c>
      <c r="AB71" s="490" t="s">
        <v>303</v>
      </c>
      <c r="AC71" s="491"/>
      <c r="AD71" s="491"/>
      <c r="AE71" s="34">
        <f t="shared" si="28"/>
        <v>2344.277</v>
      </c>
      <c r="AF71" s="34">
        <f t="shared" si="29"/>
        <v>310.23400000000004</v>
      </c>
      <c r="AG71" s="34">
        <f t="shared" si="30"/>
        <v>1844.4940000000001</v>
      </c>
      <c r="AJ71" s="145"/>
      <c r="AK71" s="111" t="s">
        <v>19</v>
      </c>
      <c r="AL71" s="490" t="s">
        <v>303</v>
      </c>
      <c r="AM71" s="491"/>
      <c r="AN71" s="491"/>
      <c r="AO71" s="159">
        <f t="shared" si="31"/>
        <v>1474.3880503144653</v>
      </c>
      <c r="AP71" s="159">
        <f t="shared" si="32"/>
        <v>182.49058823529415</v>
      </c>
      <c r="AQ71" s="159">
        <f t="shared" si="33"/>
        <v>61.483133333333335</v>
      </c>
      <c r="AT71" t="s">
        <v>386</v>
      </c>
      <c r="AU71" t="s">
        <v>388</v>
      </c>
      <c r="AV71" s="75"/>
    </row>
    <row r="72" spans="1:48">
      <c r="A72" s="145"/>
      <c r="B72" s="112"/>
      <c r="C72" s="490" t="s">
        <v>304</v>
      </c>
      <c r="D72" s="491"/>
      <c r="E72" s="491"/>
      <c r="F72" s="149">
        <f t="shared" si="37"/>
        <v>0</v>
      </c>
      <c r="G72" s="149">
        <f t="shared" si="65"/>
        <v>0</v>
      </c>
      <c r="H72" s="149">
        <f t="shared" si="66"/>
        <v>0</v>
      </c>
      <c r="I72" s="149">
        <f t="shared" si="67"/>
        <v>0</v>
      </c>
      <c r="J72" s="149">
        <f t="shared" si="68"/>
        <v>14.896000000000001</v>
      </c>
      <c r="K72" s="149">
        <f t="shared" si="69"/>
        <v>0</v>
      </c>
      <c r="L72" s="101">
        <f t="shared" si="41"/>
        <v>0</v>
      </c>
      <c r="M72" s="101">
        <f t="shared" si="42"/>
        <v>0</v>
      </c>
      <c r="N72" s="101">
        <f t="shared" si="43"/>
        <v>0</v>
      </c>
      <c r="O72" s="101">
        <f t="shared" si="44"/>
        <v>0</v>
      </c>
      <c r="P72" s="101">
        <f t="shared" si="70"/>
        <v>1.0640000000000001</v>
      </c>
      <c r="Q72" s="101">
        <f t="shared" si="71"/>
        <v>0</v>
      </c>
      <c r="R72" s="101">
        <f t="shared" si="46"/>
        <v>0</v>
      </c>
      <c r="S72" s="101">
        <f t="shared" si="47"/>
        <v>0</v>
      </c>
      <c r="T72" s="101">
        <f t="shared" si="48"/>
        <v>0</v>
      </c>
      <c r="U72" s="101">
        <f t="shared" si="49"/>
        <v>0</v>
      </c>
      <c r="V72" s="101">
        <f t="shared" si="72"/>
        <v>30.967999999999996</v>
      </c>
      <c r="W72" s="150">
        <f t="shared" si="73"/>
        <v>0</v>
      </c>
      <c r="Z72" s="145"/>
      <c r="AA72" s="112"/>
      <c r="AB72" s="490" t="s">
        <v>304</v>
      </c>
      <c r="AC72" s="491"/>
      <c r="AD72" s="491"/>
      <c r="AE72" s="34">
        <f t="shared" si="28"/>
        <v>14.896000000000001</v>
      </c>
      <c r="AF72" s="34">
        <f t="shared" si="29"/>
        <v>1.0640000000000001</v>
      </c>
      <c r="AG72" s="34">
        <f t="shared" si="30"/>
        <v>30.967999999999996</v>
      </c>
      <c r="AJ72" s="145"/>
      <c r="AK72" s="112"/>
      <c r="AL72" s="490" t="s">
        <v>304</v>
      </c>
      <c r="AM72" s="491"/>
      <c r="AN72" s="491"/>
      <c r="AO72" s="159">
        <f t="shared" si="31"/>
        <v>9.3685534591194966</v>
      </c>
      <c r="AP72" s="159">
        <f t="shared" si="32"/>
        <v>0.62588235294117656</v>
      </c>
      <c r="AQ72" s="159">
        <f t="shared" si="33"/>
        <v>1.0322666666666664</v>
      </c>
      <c r="AT72" t="s">
        <v>389</v>
      </c>
      <c r="AU72" t="s">
        <v>390</v>
      </c>
      <c r="AV72" s="75"/>
    </row>
    <row r="73" spans="1:48">
      <c r="A73" s="145"/>
      <c r="B73" s="112"/>
      <c r="C73" s="490" t="s">
        <v>305</v>
      </c>
      <c r="D73" s="491"/>
      <c r="E73" s="491"/>
      <c r="F73" s="149">
        <f t="shared" si="37"/>
        <v>0</v>
      </c>
      <c r="G73" s="149">
        <f t="shared" si="65"/>
        <v>0</v>
      </c>
      <c r="H73" s="149">
        <f t="shared" si="66"/>
        <v>0</v>
      </c>
      <c r="I73" s="149">
        <f t="shared" si="67"/>
        <v>0</v>
      </c>
      <c r="J73" s="149">
        <f t="shared" si="68"/>
        <v>46.018000000000001</v>
      </c>
      <c r="K73" s="149">
        <f t="shared" si="69"/>
        <v>637.83000000000004</v>
      </c>
      <c r="L73" s="101">
        <f t="shared" si="41"/>
        <v>0</v>
      </c>
      <c r="M73" s="101">
        <f t="shared" si="42"/>
        <v>0</v>
      </c>
      <c r="N73" s="101">
        <f t="shared" si="43"/>
        <v>0</v>
      </c>
      <c r="O73" s="101">
        <f t="shared" si="44"/>
        <v>0</v>
      </c>
      <c r="P73" s="101">
        <f t="shared" si="70"/>
        <v>3.2869999999999999</v>
      </c>
      <c r="Q73" s="101">
        <f t="shared" si="71"/>
        <v>87.281999999999996</v>
      </c>
      <c r="R73" s="101">
        <f t="shared" si="46"/>
        <v>0</v>
      </c>
      <c r="S73" s="101">
        <f t="shared" si="47"/>
        <v>0</v>
      </c>
      <c r="T73" s="101">
        <f t="shared" si="48"/>
        <v>0</v>
      </c>
      <c r="U73" s="101">
        <f t="shared" si="49"/>
        <v>0</v>
      </c>
      <c r="V73" s="101">
        <f t="shared" si="72"/>
        <v>95.668999999999983</v>
      </c>
      <c r="W73" s="150">
        <f t="shared" si="73"/>
        <v>440.88600000000002</v>
      </c>
      <c r="Z73" s="145"/>
      <c r="AA73" s="112"/>
      <c r="AB73" s="490" t="s">
        <v>305</v>
      </c>
      <c r="AC73" s="491"/>
      <c r="AD73" s="491"/>
      <c r="AE73" s="34">
        <f t="shared" si="28"/>
        <v>683.84800000000007</v>
      </c>
      <c r="AF73" s="34">
        <f t="shared" si="29"/>
        <v>90.569000000000003</v>
      </c>
      <c r="AG73" s="34">
        <f t="shared" si="30"/>
        <v>536.55500000000006</v>
      </c>
      <c r="AJ73" s="145"/>
      <c r="AK73" s="112"/>
      <c r="AL73" s="490" t="s">
        <v>305</v>
      </c>
      <c r="AM73" s="491"/>
      <c r="AN73" s="491"/>
      <c r="AO73" s="159">
        <f t="shared" si="31"/>
        <v>430.09308176100632</v>
      </c>
      <c r="AP73" s="159">
        <f t="shared" si="32"/>
        <v>53.275882352941181</v>
      </c>
      <c r="AQ73" s="159">
        <f t="shared" si="33"/>
        <v>17.88516666666667</v>
      </c>
      <c r="AT73" t="s">
        <v>391</v>
      </c>
      <c r="AU73" t="s">
        <v>392</v>
      </c>
      <c r="AV73" s="75"/>
    </row>
    <row r="74" spans="1:48" ht="17.5" thickBot="1">
      <c r="A74" s="146"/>
      <c r="B74" s="147"/>
      <c r="C74" s="492" t="s">
        <v>47</v>
      </c>
      <c r="D74" s="493"/>
      <c r="E74" s="493"/>
      <c r="F74" s="151">
        <f t="shared" si="37"/>
        <v>0</v>
      </c>
      <c r="G74" s="151">
        <f t="shared" si="65"/>
        <v>0</v>
      </c>
      <c r="H74" s="151">
        <f t="shared" si="66"/>
        <v>0</v>
      </c>
      <c r="I74" s="151">
        <f t="shared" si="67"/>
        <v>0</v>
      </c>
      <c r="J74" s="151">
        <f t="shared" si="68"/>
        <v>3987.0740000000001</v>
      </c>
      <c r="K74" s="151">
        <f t="shared" si="69"/>
        <v>13306.935000000001</v>
      </c>
      <c r="L74" s="152">
        <f t="shared" si="41"/>
        <v>0</v>
      </c>
      <c r="M74" s="152">
        <f t="shared" si="42"/>
        <v>0</v>
      </c>
      <c r="N74" s="152">
        <f t="shared" si="43"/>
        <v>0</v>
      </c>
      <c r="O74" s="152">
        <f t="shared" si="44"/>
        <v>0</v>
      </c>
      <c r="P74" s="152">
        <f t="shared" si="70"/>
        <v>284.791</v>
      </c>
      <c r="Q74" s="152">
        <f t="shared" si="71"/>
        <v>1820.9490000000001</v>
      </c>
      <c r="R74" s="152">
        <f t="shared" si="46"/>
        <v>0</v>
      </c>
      <c r="S74" s="152">
        <f t="shared" si="47"/>
        <v>0</v>
      </c>
      <c r="T74" s="152">
        <f t="shared" si="48"/>
        <v>0</v>
      </c>
      <c r="U74" s="152">
        <f t="shared" si="49"/>
        <v>0</v>
      </c>
      <c r="V74" s="152">
        <f t="shared" si="72"/>
        <v>8288.9169999999995</v>
      </c>
      <c r="W74" s="153">
        <f t="shared" si="73"/>
        <v>9198.1270000000004</v>
      </c>
      <c r="Z74" s="146"/>
      <c r="AA74" s="147"/>
      <c r="AB74" s="492" t="s">
        <v>47</v>
      </c>
      <c r="AC74" s="493"/>
      <c r="AD74" s="493"/>
      <c r="AE74" s="34">
        <f t="shared" si="28"/>
        <v>17294.009000000002</v>
      </c>
      <c r="AF74" s="34">
        <f t="shared" si="29"/>
        <v>2105.7400000000002</v>
      </c>
      <c r="AG74" s="34">
        <f t="shared" si="30"/>
        <v>17487.044000000002</v>
      </c>
      <c r="AJ74" s="146"/>
      <c r="AK74" s="147"/>
      <c r="AL74" s="492" t="s">
        <v>47</v>
      </c>
      <c r="AM74" s="493"/>
      <c r="AN74" s="493"/>
      <c r="AO74" s="159">
        <f t="shared" si="31"/>
        <v>10876.735220125787</v>
      </c>
      <c r="AP74" s="159">
        <f t="shared" si="32"/>
        <v>1238.6705882352942</v>
      </c>
      <c r="AQ74" s="159">
        <f t="shared" si="33"/>
        <v>582.90146666666669</v>
      </c>
      <c r="AT74" t="s">
        <v>391</v>
      </c>
      <c r="AU74" t="s">
        <v>393</v>
      </c>
      <c r="AV74" s="75"/>
    </row>
    <row r="75" spans="1:48">
      <c r="AT75" t="s">
        <v>394</v>
      </c>
      <c r="AU75" t="s">
        <v>395</v>
      </c>
      <c r="AV75" s="75"/>
    </row>
    <row r="76" spans="1:48" ht="23">
      <c r="A76" s="154" t="s">
        <v>331</v>
      </c>
      <c r="Z76" s="154" t="s">
        <v>337</v>
      </c>
      <c r="AJ76" s="102" t="s">
        <v>339</v>
      </c>
      <c r="AT76" t="s">
        <v>396</v>
      </c>
      <c r="AU76" t="s">
        <v>397</v>
      </c>
      <c r="AV76" s="75"/>
    </row>
    <row r="77" spans="1:48">
      <c r="A77" s="32" t="s">
        <v>308</v>
      </c>
      <c r="Z77" s="32" t="s">
        <v>308</v>
      </c>
      <c r="AJ77" s="32" t="s">
        <v>308</v>
      </c>
      <c r="AT77" t="s">
        <v>396</v>
      </c>
      <c r="AU77" t="s">
        <v>398</v>
      </c>
      <c r="AV77" s="75"/>
    </row>
    <row r="78" spans="1:48" ht="21" thickBot="1">
      <c r="F78" s="655" t="s">
        <v>319</v>
      </c>
      <c r="G78" s="655"/>
      <c r="H78" s="655"/>
      <c r="I78" s="655"/>
      <c r="J78" s="655"/>
      <c r="K78" s="655"/>
      <c r="L78" s="655" t="s">
        <v>320</v>
      </c>
      <c r="M78" s="655"/>
      <c r="N78" s="655"/>
      <c r="O78" s="655"/>
      <c r="P78" s="655"/>
      <c r="Q78" s="655"/>
      <c r="R78" s="655" t="s">
        <v>321</v>
      </c>
      <c r="S78" s="655"/>
      <c r="T78" s="655"/>
      <c r="U78" s="655"/>
      <c r="V78" s="655"/>
      <c r="W78" s="655"/>
      <c r="AE78" s="32" t="s">
        <v>334</v>
      </c>
      <c r="AF78" s="32" t="s">
        <v>335</v>
      </c>
      <c r="AG78" s="32" t="s">
        <v>321</v>
      </c>
      <c r="AO78" s="32" t="s">
        <v>334</v>
      </c>
      <c r="AP78" s="32" t="s">
        <v>335</v>
      </c>
      <c r="AQ78" s="32" t="s">
        <v>321</v>
      </c>
    </row>
    <row r="79" spans="1:48">
      <c r="A79" s="484" t="s">
        <v>307</v>
      </c>
      <c r="B79" s="485"/>
      <c r="C79" s="485"/>
      <c r="D79" s="485"/>
      <c r="E79" s="486"/>
      <c r="F79" s="142" t="s">
        <v>165</v>
      </c>
      <c r="G79" s="143"/>
      <c r="H79" s="143"/>
      <c r="I79" s="485" t="s">
        <v>328</v>
      </c>
      <c r="J79" s="485" t="s">
        <v>329</v>
      </c>
      <c r="K79" s="485" t="s">
        <v>330</v>
      </c>
      <c r="L79" s="143"/>
      <c r="M79" s="143"/>
      <c r="N79" s="143"/>
      <c r="O79" s="485" t="s">
        <v>328</v>
      </c>
      <c r="P79" s="485" t="s">
        <v>329</v>
      </c>
      <c r="Q79" s="485" t="s">
        <v>330</v>
      </c>
      <c r="R79" s="143"/>
      <c r="S79" s="143"/>
      <c r="T79" s="144"/>
      <c r="U79" s="485" t="s">
        <v>328</v>
      </c>
      <c r="V79" s="485" t="s">
        <v>329</v>
      </c>
      <c r="W79" s="657" t="s">
        <v>330</v>
      </c>
      <c r="Z79" s="484" t="s">
        <v>307</v>
      </c>
      <c r="AA79" s="485"/>
      <c r="AB79" s="485"/>
      <c r="AC79" s="485"/>
      <c r="AD79" s="486"/>
      <c r="AJ79" s="484" t="s">
        <v>307</v>
      </c>
      <c r="AK79" s="485"/>
      <c r="AL79" s="485"/>
      <c r="AM79" s="485"/>
      <c r="AN79" s="486"/>
    </row>
    <row r="80" spans="1:48" ht="17.5" thickBot="1">
      <c r="A80" s="487"/>
      <c r="B80" s="488"/>
      <c r="C80" s="488"/>
      <c r="D80" s="488"/>
      <c r="E80" s="489"/>
      <c r="F80" s="148" t="s">
        <v>44</v>
      </c>
      <c r="G80" s="148" t="s">
        <v>45</v>
      </c>
      <c r="H80" s="148" t="s">
        <v>46</v>
      </c>
      <c r="I80" s="656"/>
      <c r="J80" s="656"/>
      <c r="K80" s="656"/>
      <c r="L80" s="148" t="s">
        <v>44</v>
      </c>
      <c r="M80" s="148" t="s">
        <v>45</v>
      </c>
      <c r="N80" s="148" t="s">
        <v>46</v>
      </c>
      <c r="O80" s="656"/>
      <c r="P80" s="656"/>
      <c r="Q80" s="656"/>
      <c r="R80" s="148" t="s">
        <v>44</v>
      </c>
      <c r="S80" s="148" t="s">
        <v>45</v>
      </c>
      <c r="T80" s="148" t="s">
        <v>46</v>
      </c>
      <c r="U80" s="656"/>
      <c r="V80" s="656"/>
      <c r="W80" s="658"/>
      <c r="Z80" s="487"/>
      <c r="AA80" s="488"/>
      <c r="AB80" s="488"/>
      <c r="AC80" s="488"/>
      <c r="AD80" s="489"/>
      <c r="AJ80" s="487"/>
      <c r="AK80" s="488"/>
      <c r="AL80" s="488"/>
      <c r="AM80" s="488"/>
      <c r="AN80" s="489"/>
    </row>
    <row r="81" spans="1:43" ht="17.5" thickTop="1">
      <c r="A81" s="145">
        <v>2027</v>
      </c>
      <c r="B81" s="110" t="s">
        <v>289</v>
      </c>
      <c r="C81" s="110"/>
      <c r="D81" s="490" t="s">
        <v>324</v>
      </c>
      <c r="E81" s="491"/>
      <c r="F81" s="149">
        <f>F39*P$22</f>
        <v>177.85900000000001</v>
      </c>
      <c r="G81" s="149">
        <f t="shared" ref="G81" si="74">G39*Q$22</f>
        <v>9.1000000000000014</v>
      </c>
      <c r="H81" s="149">
        <f t="shared" ref="H81" si="75">H39*R$22</f>
        <v>140.71799999999999</v>
      </c>
      <c r="I81" s="149">
        <f t="shared" ref="I81" si="76">I39*S$22</f>
        <v>111.32000000000001</v>
      </c>
      <c r="J81" s="149">
        <f t="shared" ref="J81" si="77">J39*T$22</f>
        <v>0</v>
      </c>
      <c r="K81" s="149">
        <f t="shared" ref="K81" si="78">K39*U$22</f>
        <v>0</v>
      </c>
      <c r="L81" s="149">
        <f>F39*P$23</f>
        <v>25.783000000000001</v>
      </c>
      <c r="M81" s="149">
        <f>G39*Q$23</f>
        <v>3.12</v>
      </c>
      <c r="N81" s="149">
        <f>H39*R$23</f>
        <v>34.930000000000007</v>
      </c>
      <c r="O81" s="149">
        <f>I39*S$23</f>
        <v>32.56</v>
      </c>
      <c r="P81" s="149">
        <f t="shared" ref="P81" si="79">J39*T$23</f>
        <v>0</v>
      </c>
      <c r="Q81" s="149">
        <f t="shared" ref="Q81" si="80">K39*U$23</f>
        <v>0</v>
      </c>
      <c r="R81" s="101">
        <f>F39*P$24</f>
        <v>175.23700000000002</v>
      </c>
      <c r="S81" s="101">
        <f>G39*Q$24</f>
        <v>50.83</v>
      </c>
      <c r="T81" s="101">
        <f>H39*R$24</f>
        <v>203.59199999999998</v>
      </c>
      <c r="U81" s="101">
        <f>I39*S$24</f>
        <v>184.79999999999998</v>
      </c>
      <c r="V81" s="101">
        <f t="shared" ref="V81" si="81">J39*T$24</f>
        <v>0</v>
      </c>
      <c r="W81" s="150">
        <f t="shared" ref="W81" si="82">K39*U$24</f>
        <v>0</v>
      </c>
      <c r="Z81" s="145">
        <v>2027</v>
      </c>
      <c r="AA81" s="110" t="s">
        <v>289</v>
      </c>
      <c r="AB81" s="110"/>
      <c r="AC81" s="490" t="s">
        <v>324</v>
      </c>
      <c r="AD81" s="491"/>
      <c r="AE81" s="34">
        <f>SUM(F81:K81)</f>
        <v>438.99700000000001</v>
      </c>
      <c r="AF81" s="34">
        <f t="shared" ref="AF81:AF92" si="83">SUM(L81:Q81)</f>
        <v>96.393000000000015</v>
      </c>
      <c r="AG81" s="34">
        <f t="shared" ref="AG81:AG92" si="84">SUM(R81:W81)</f>
        <v>614.45899999999995</v>
      </c>
      <c r="AJ81" s="145">
        <v>2027</v>
      </c>
      <c r="AK81" s="110" t="s">
        <v>289</v>
      </c>
      <c r="AL81" s="110"/>
      <c r="AM81" s="490" t="s">
        <v>324</v>
      </c>
      <c r="AN81" s="491"/>
      <c r="AO81" s="159">
        <f t="shared" ref="AO81:AO92" si="85">AE81/$P$31</f>
        <v>276.0987421383648</v>
      </c>
      <c r="AP81" s="159">
        <f t="shared" ref="AP81:AP92" si="86">AF81/$Q$31</f>
        <v>56.701764705882361</v>
      </c>
      <c r="AQ81" s="159">
        <f t="shared" ref="AQ81:AQ92" si="87">AG81/$R$31</f>
        <v>20.481966666666665</v>
      </c>
    </row>
    <row r="82" spans="1:43">
      <c r="A82" s="145"/>
      <c r="B82" s="111" t="s">
        <v>290</v>
      </c>
      <c r="C82" s="112"/>
      <c r="D82" s="494" t="s">
        <v>322</v>
      </c>
      <c r="E82" s="41" t="s">
        <v>296</v>
      </c>
      <c r="F82" s="149">
        <f>F43*P$22</f>
        <v>3870.9770000000003</v>
      </c>
      <c r="G82" s="149">
        <f t="shared" ref="G82:G83" si="88">G43*Q$22</f>
        <v>198.87000000000003</v>
      </c>
      <c r="H82" s="149">
        <f t="shared" ref="H82:H83" si="89">H43*R$22</f>
        <v>3063.3659999999995</v>
      </c>
      <c r="I82" s="149">
        <f t="shared" ref="I82:I83" si="90">I43*S$22</f>
        <v>3003.616</v>
      </c>
      <c r="J82" s="149">
        <f t="shared" ref="J82:J83" si="91">J43*T$22</f>
        <v>0</v>
      </c>
      <c r="K82" s="149">
        <f t="shared" ref="K82:K83" si="92">K43*U$22</f>
        <v>0</v>
      </c>
      <c r="L82" s="101">
        <f t="shared" ref="L82:O83" si="93">F43*P$23</f>
        <v>561.149</v>
      </c>
      <c r="M82" s="101">
        <f t="shared" si="93"/>
        <v>68.183999999999997</v>
      </c>
      <c r="N82" s="101">
        <f t="shared" si="93"/>
        <v>760.41000000000008</v>
      </c>
      <c r="O82" s="101">
        <f t="shared" si="93"/>
        <v>878.52800000000013</v>
      </c>
      <c r="P82" s="101">
        <f t="shared" ref="P82:P83" si="94">J43*T$23</f>
        <v>0</v>
      </c>
      <c r="Q82" s="101">
        <f t="shared" ref="Q82:Q83" si="95">K43*U$23</f>
        <v>0</v>
      </c>
      <c r="R82" s="101">
        <f t="shared" ref="R82:U83" si="96">F43*P$24</f>
        <v>3813.9110000000001</v>
      </c>
      <c r="S82" s="101">
        <f t="shared" si="96"/>
        <v>1110.8310000000001</v>
      </c>
      <c r="T82" s="101">
        <f t="shared" si="96"/>
        <v>4432.1039999999994</v>
      </c>
      <c r="U82" s="101">
        <f t="shared" si="96"/>
        <v>4986.24</v>
      </c>
      <c r="V82" s="101">
        <f t="shared" ref="V82:V83" si="97">J43*T$24</f>
        <v>0</v>
      </c>
      <c r="W82" s="150">
        <f t="shared" ref="W82:W83" si="98">K43*U$24</f>
        <v>0</v>
      </c>
      <c r="Z82" s="145"/>
      <c r="AA82" s="111" t="s">
        <v>290</v>
      </c>
      <c r="AB82" s="112"/>
      <c r="AC82" s="494" t="s">
        <v>322</v>
      </c>
      <c r="AD82" s="41" t="s">
        <v>296</v>
      </c>
      <c r="AE82" s="34">
        <f t="shared" ref="AE82:AE92" si="99">SUM(F82:K82)</f>
        <v>10136.829</v>
      </c>
      <c r="AF82" s="34">
        <f t="shared" si="83"/>
        <v>2268.2710000000002</v>
      </c>
      <c r="AG82" s="34">
        <f t="shared" si="84"/>
        <v>14343.085999999999</v>
      </c>
      <c r="AJ82" s="145"/>
      <c r="AK82" s="111" t="s">
        <v>290</v>
      </c>
      <c r="AL82" s="112"/>
      <c r="AM82" s="494" t="s">
        <v>322</v>
      </c>
      <c r="AN82" s="41" t="s">
        <v>296</v>
      </c>
      <c r="AO82" s="159">
        <f t="shared" si="85"/>
        <v>6375.3641509433955</v>
      </c>
      <c r="AP82" s="159">
        <f t="shared" si="86"/>
        <v>1334.2770588235296</v>
      </c>
      <c r="AQ82" s="159">
        <f t="shared" si="87"/>
        <v>478.10286666666667</v>
      </c>
    </row>
    <row r="83" spans="1:43" ht="29">
      <c r="A83" s="145"/>
      <c r="B83" s="111" t="s">
        <v>19</v>
      </c>
      <c r="C83" s="112"/>
      <c r="D83" s="495"/>
      <c r="E83" s="41" t="s">
        <v>297</v>
      </c>
      <c r="F83" s="149">
        <f>F44*P$22</f>
        <v>2909.643</v>
      </c>
      <c r="G83" s="149">
        <f t="shared" si="88"/>
        <v>149.52000000000001</v>
      </c>
      <c r="H83" s="149">
        <f t="shared" si="89"/>
        <v>2302.5299999999997</v>
      </c>
      <c r="I83" s="149">
        <f t="shared" si="90"/>
        <v>1822.6120000000001</v>
      </c>
      <c r="J83" s="149">
        <f t="shared" si="91"/>
        <v>0</v>
      </c>
      <c r="K83" s="149">
        <f t="shared" si="92"/>
        <v>0</v>
      </c>
      <c r="L83" s="101">
        <f t="shared" si="93"/>
        <v>421.79100000000005</v>
      </c>
      <c r="M83" s="101">
        <f t="shared" si="93"/>
        <v>51.264000000000003</v>
      </c>
      <c r="N83" s="101">
        <f t="shared" si="93"/>
        <v>571.55000000000007</v>
      </c>
      <c r="O83" s="101">
        <f t="shared" si="93"/>
        <v>533.09600000000012</v>
      </c>
      <c r="P83" s="101">
        <f t="shared" si="94"/>
        <v>0</v>
      </c>
      <c r="Q83" s="101">
        <f t="shared" si="95"/>
        <v>0</v>
      </c>
      <c r="R83" s="101">
        <f t="shared" si="96"/>
        <v>2866.7490000000003</v>
      </c>
      <c r="S83" s="101">
        <f t="shared" si="96"/>
        <v>835.17600000000004</v>
      </c>
      <c r="T83" s="101">
        <f t="shared" si="96"/>
        <v>3331.3199999999997</v>
      </c>
      <c r="U83" s="101">
        <f t="shared" si="96"/>
        <v>3025.68</v>
      </c>
      <c r="V83" s="101">
        <f t="shared" si="97"/>
        <v>0</v>
      </c>
      <c r="W83" s="150">
        <f t="shared" si="98"/>
        <v>0</v>
      </c>
      <c r="Z83" s="145"/>
      <c r="AA83" s="111" t="s">
        <v>19</v>
      </c>
      <c r="AB83" s="112"/>
      <c r="AC83" s="495"/>
      <c r="AD83" s="41" t="s">
        <v>297</v>
      </c>
      <c r="AE83" s="34">
        <f t="shared" si="99"/>
        <v>7184.3049999999994</v>
      </c>
      <c r="AF83" s="34">
        <f t="shared" si="83"/>
        <v>1577.701</v>
      </c>
      <c r="AG83" s="34">
        <f t="shared" si="84"/>
        <v>10058.924999999999</v>
      </c>
      <c r="AJ83" s="145"/>
      <c r="AK83" s="111" t="s">
        <v>19</v>
      </c>
      <c r="AL83" s="112"/>
      <c r="AM83" s="495"/>
      <c r="AN83" s="41" t="s">
        <v>297</v>
      </c>
      <c r="AO83" s="159">
        <f t="shared" si="85"/>
        <v>4518.4308176100621</v>
      </c>
      <c r="AP83" s="159">
        <f t="shared" si="86"/>
        <v>928.05941176470594</v>
      </c>
      <c r="AQ83" s="159">
        <f t="shared" si="87"/>
        <v>335.29749999999996</v>
      </c>
    </row>
    <row r="84" spans="1:43" ht="29">
      <c r="A84" s="145"/>
      <c r="B84" s="112"/>
      <c r="C84" s="112"/>
      <c r="D84" s="111" t="s">
        <v>323</v>
      </c>
      <c r="E84" s="41" t="s">
        <v>297</v>
      </c>
      <c r="F84" s="149">
        <f t="shared" ref="F84:F92" si="100">F46*P$22</f>
        <v>468.05</v>
      </c>
      <c r="G84" s="149">
        <f t="shared" ref="G84:G92" si="101">G46*Q$22</f>
        <v>24.01</v>
      </c>
      <c r="H84" s="149">
        <f t="shared" ref="H84:H92" si="102">H46*R$22</f>
        <v>370.26599999999996</v>
      </c>
      <c r="I84" s="149">
        <f t="shared" ref="I84:I92" si="103">I46*S$22</f>
        <v>293.22699999999998</v>
      </c>
      <c r="J84" s="149">
        <f t="shared" ref="J84:J92" si="104">J46*T$22</f>
        <v>0</v>
      </c>
      <c r="K84" s="149">
        <f t="shared" ref="K84:K92" si="105">K46*U$22</f>
        <v>0</v>
      </c>
      <c r="L84" s="101">
        <f t="shared" ref="L84:L92" si="106">F46*P$23</f>
        <v>67.850000000000009</v>
      </c>
      <c r="M84" s="101">
        <f t="shared" ref="M84:M92" si="107">G46*Q$23</f>
        <v>8.2319999999999993</v>
      </c>
      <c r="N84" s="101">
        <f t="shared" ref="N84:N92" si="108">H46*R$23</f>
        <v>91.910000000000011</v>
      </c>
      <c r="O84" s="101">
        <f t="shared" ref="O84:O92" si="109">I46*S$23</f>
        <v>85.766000000000005</v>
      </c>
      <c r="P84" s="101">
        <f t="shared" ref="P84:P92" si="110">J46*T$23</f>
        <v>0</v>
      </c>
      <c r="Q84" s="101">
        <f t="shared" ref="Q84:Q92" si="111">K46*U$23</f>
        <v>0</v>
      </c>
      <c r="R84" s="101">
        <f t="shared" ref="R84:R92" si="112">F46*P$24</f>
        <v>461.15000000000003</v>
      </c>
      <c r="S84" s="101">
        <f t="shared" ref="S84:S92" si="113">G46*Q$24</f>
        <v>134.113</v>
      </c>
      <c r="T84" s="101">
        <f t="shared" ref="T84:T92" si="114">H46*R$24</f>
        <v>535.70399999999995</v>
      </c>
      <c r="U84" s="101">
        <f t="shared" ref="U84:U92" si="115">I46*S$24</f>
        <v>486.78</v>
      </c>
      <c r="V84" s="101">
        <f t="shared" ref="V84:V92" si="116">J46*T$24</f>
        <v>0</v>
      </c>
      <c r="W84" s="150">
        <f t="shared" ref="W84:W91" si="117">K46*U$24</f>
        <v>0</v>
      </c>
      <c r="Z84" s="145"/>
      <c r="AA84" s="112"/>
      <c r="AB84" s="112"/>
      <c r="AC84" s="111" t="s">
        <v>323</v>
      </c>
      <c r="AD84" s="41" t="s">
        <v>297</v>
      </c>
      <c r="AE84" s="34">
        <f t="shared" si="99"/>
        <v>1155.5529999999999</v>
      </c>
      <c r="AF84" s="34">
        <f t="shared" si="83"/>
        <v>253.75800000000004</v>
      </c>
      <c r="AG84" s="34">
        <f t="shared" si="84"/>
        <v>1617.7470000000001</v>
      </c>
      <c r="AJ84" s="145"/>
      <c r="AK84" s="112"/>
      <c r="AL84" s="112"/>
      <c r="AM84" s="111" t="s">
        <v>323</v>
      </c>
      <c r="AN84" s="41" t="s">
        <v>297</v>
      </c>
      <c r="AO84" s="159">
        <f t="shared" si="85"/>
        <v>726.76289308176092</v>
      </c>
      <c r="AP84" s="159">
        <f t="shared" si="86"/>
        <v>149.26941176470592</v>
      </c>
      <c r="AQ84" s="159">
        <f t="shared" si="87"/>
        <v>53.924900000000001</v>
      </c>
    </row>
    <row r="85" spans="1:43" ht="16.5" customHeight="1">
      <c r="A85" s="145"/>
      <c r="B85" s="112"/>
      <c r="C85" s="113"/>
      <c r="D85" s="113"/>
      <c r="E85" s="41" t="s">
        <v>299</v>
      </c>
      <c r="F85" s="149">
        <f t="shared" si="100"/>
        <v>818.88400000000001</v>
      </c>
      <c r="G85" s="149">
        <f t="shared" si="101"/>
        <v>42.070000000000007</v>
      </c>
      <c r="H85" s="149">
        <f t="shared" si="102"/>
        <v>648.03599999999994</v>
      </c>
      <c r="I85" s="149">
        <f t="shared" si="103"/>
        <v>513.08400000000006</v>
      </c>
      <c r="J85" s="149">
        <f t="shared" si="104"/>
        <v>0</v>
      </c>
      <c r="K85" s="149">
        <f t="shared" si="105"/>
        <v>0</v>
      </c>
      <c r="L85" s="101">
        <f t="shared" si="106"/>
        <v>118.70800000000001</v>
      </c>
      <c r="M85" s="101">
        <f t="shared" si="107"/>
        <v>14.423999999999999</v>
      </c>
      <c r="N85" s="101">
        <f t="shared" si="108"/>
        <v>160.86000000000001</v>
      </c>
      <c r="O85" s="101">
        <f t="shared" si="109"/>
        <v>150.07200000000003</v>
      </c>
      <c r="P85" s="101">
        <f t="shared" si="110"/>
        <v>0</v>
      </c>
      <c r="Q85" s="101">
        <f t="shared" si="111"/>
        <v>0</v>
      </c>
      <c r="R85" s="101">
        <f t="shared" si="112"/>
        <v>806.81200000000001</v>
      </c>
      <c r="S85" s="101">
        <f t="shared" si="113"/>
        <v>234.99100000000001</v>
      </c>
      <c r="T85" s="101">
        <f t="shared" si="114"/>
        <v>937.58399999999995</v>
      </c>
      <c r="U85" s="101">
        <f t="shared" si="115"/>
        <v>851.76</v>
      </c>
      <c r="V85" s="101">
        <f t="shared" si="116"/>
        <v>0</v>
      </c>
      <c r="W85" s="150">
        <f t="shared" si="117"/>
        <v>0</v>
      </c>
      <c r="Z85" s="145"/>
      <c r="AA85" s="112"/>
      <c r="AB85" s="113"/>
      <c r="AC85" s="113"/>
      <c r="AD85" s="41" t="s">
        <v>299</v>
      </c>
      <c r="AE85" s="34">
        <f t="shared" si="99"/>
        <v>2022.0740000000001</v>
      </c>
      <c r="AF85" s="34">
        <f t="shared" si="83"/>
        <v>444.06400000000008</v>
      </c>
      <c r="AG85" s="34">
        <f t="shared" si="84"/>
        <v>2831.1469999999999</v>
      </c>
      <c r="AJ85" s="145"/>
      <c r="AK85" s="112"/>
      <c r="AL85" s="113"/>
      <c r="AM85" s="113"/>
      <c r="AN85" s="41" t="s">
        <v>299</v>
      </c>
      <c r="AO85" s="159">
        <f t="shared" si="85"/>
        <v>1271.7446540880503</v>
      </c>
      <c r="AP85" s="159">
        <f t="shared" si="86"/>
        <v>261.21411764705886</v>
      </c>
      <c r="AQ85" s="159">
        <f t="shared" si="87"/>
        <v>94.371566666666666</v>
      </c>
    </row>
    <row r="86" spans="1:43" ht="16.5" customHeight="1">
      <c r="A86" s="145"/>
      <c r="B86" s="113"/>
      <c r="C86" s="490" t="s">
        <v>13</v>
      </c>
      <c r="D86" s="491"/>
      <c r="E86" s="491"/>
      <c r="F86" s="149">
        <f t="shared" si="100"/>
        <v>0</v>
      </c>
      <c r="G86" s="149">
        <f t="shared" si="101"/>
        <v>0</v>
      </c>
      <c r="H86" s="149">
        <f t="shared" si="102"/>
        <v>0</v>
      </c>
      <c r="I86" s="149">
        <f t="shared" si="103"/>
        <v>0</v>
      </c>
      <c r="J86" s="149">
        <f t="shared" si="104"/>
        <v>435.97400000000005</v>
      </c>
      <c r="K86" s="149">
        <f t="shared" si="105"/>
        <v>4939.05</v>
      </c>
      <c r="L86" s="101">
        <f t="shared" si="106"/>
        <v>0</v>
      </c>
      <c r="M86" s="101">
        <f t="shared" si="107"/>
        <v>0</v>
      </c>
      <c r="N86" s="101">
        <f t="shared" si="108"/>
        <v>0</v>
      </c>
      <c r="O86" s="101">
        <f t="shared" si="109"/>
        <v>0</v>
      </c>
      <c r="P86" s="101">
        <f t="shared" si="110"/>
        <v>31.140999999999998</v>
      </c>
      <c r="Q86" s="101">
        <f t="shared" si="111"/>
        <v>675.87</v>
      </c>
      <c r="R86" s="101">
        <f t="shared" si="112"/>
        <v>0</v>
      </c>
      <c r="S86" s="101">
        <f t="shared" si="113"/>
        <v>0</v>
      </c>
      <c r="T86" s="101">
        <f t="shared" si="114"/>
        <v>0</v>
      </c>
      <c r="U86" s="101">
        <f t="shared" si="115"/>
        <v>0</v>
      </c>
      <c r="V86" s="101">
        <f t="shared" si="116"/>
        <v>906.36699999999985</v>
      </c>
      <c r="W86" s="150">
        <f t="shared" si="117"/>
        <v>3414.01</v>
      </c>
      <c r="Z86" s="145"/>
      <c r="AA86" s="113"/>
      <c r="AB86" s="490" t="s">
        <v>13</v>
      </c>
      <c r="AC86" s="491"/>
      <c r="AD86" s="491"/>
      <c r="AE86" s="34">
        <f t="shared" si="99"/>
        <v>5375.0240000000003</v>
      </c>
      <c r="AF86" s="34">
        <f t="shared" si="83"/>
        <v>707.01099999999997</v>
      </c>
      <c r="AG86" s="34">
        <f t="shared" si="84"/>
        <v>4320.3770000000004</v>
      </c>
      <c r="AJ86" s="145"/>
      <c r="AK86" s="113"/>
      <c r="AL86" s="490" t="s">
        <v>13</v>
      </c>
      <c r="AM86" s="491"/>
      <c r="AN86" s="491"/>
      <c r="AO86" s="159">
        <f t="shared" si="85"/>
        <v>3380.5182389937108</v>
      </c>
      <c r="AP86" s="159">
        <f t="shared" si="86"/>
        <v>415.88882352941175</v>
      </c>
      <c r="AQ86" s="159">
        <f t="shared" si="87"/>
        <v>144.01256666666669</v>
      </c>
    </row>
    <row r="87" spans="1:43">
      <c r="A87" s="145"/>
      <c r="B87" s="110" t="s">
        <v>300</v>
      </c>
      <c r="C87" s="490" t="s">
        <v>301</v>
      </c>
      <c r="D87" s="491"/>
      <c r="E87" s="491"/>
      <c r="F87" s="149">
        <f t="shared" si="100"/>
        <v>0</v>
      </c>
      <c r="G87" s="149">
        <f t="shared" si="101"/>
        <v>0</v>
      </c>
      <c r="H87" s="149">
        <f t="shared" si="102"/>
        <v>0</v>
      </c>
      <c r="I87" s="149">
        <f t="shared" si="103"/>
        <v>0</v>
      </c>
      <c r="J87" s="149">
        <f t="shared" si="104"/>
        <v>7656.2780000000002</v>
      </c>
      <c r="K87" s="149">
        <f t="shared" si="105"/>
        <v>30996.885000000002</v>
      </c>
      <c r="L87" s="101">
        <f t="shared" si="106"/>
        <v>0</v>
      </c>
      <c r="M87" s="101">
        <f t="shared" si="107"/>
        <v>0</v>
      </c>
      <c r="N87" s="101">
        <f t="shared" si="108"/>
        <v>0</v>
      </c>
      <c r="O87" s="101">
        <f t="shared" si="109"/>
        <v>0</v>
      </c>
      <c r="P87" s="101">
        <f t="shared" si="110"/>
        <v>546.87699999999995</v>
      </c>
      <c r="Q87" s="101">
        <f t="shared" si="111"/>
        <v>4241.6790000000001</v>
      </c>
      <c r="R87" s="101">
        <f t="shared" si="112"/>
        <v>0</v>
      </c>
      <c r="S87" s="101">
        <f t="shared" si="113"/>
        <v>0</v>
      </c>
      <c r="T87" s="101">
        <f t="shared" si="114"/>
        <v>0</v>
      </c>
      <c r="U87" s="101">
        <f t="shared" si="115"/>
        <v>0</v>
      </c>
      <c r="V87" s="101">
        <f t="shared" si="116"/>
        <v>15916.998999999998</v>
      </c>
      <c r="W87" s="150">
        <f t="shared" si="117"/>
        <v>21425.917000000001</v>
      </c>
      <c r="Z87" s="145"/>
      <c r="AA87" s="110" t="s">
        <v>300</v>
      </c>
      <c r="AB87" s="490" t="s">
        <v>301</v>
      </c>
      <c r="AC87" s="491"/>
      <c r="AD87" s="491"/>
      <c r="AE87" s="34">
        <f t="shared" si="99"/>
        <v>38653.163</v>
      </c>
      <c r="AF87" s="34">
        <f t="shared" si="83"/>
        <v>4788.5560000000005</v>
      </c>
      <c r="AG87" s="34">
        <f t="shared" si="84"/>
        <v>37342.915999999997</v>
      </c>
      <c r="AJ87" s="145"/>
      <c r="AK87" s="110" t="s">
        <v>300</v>
      </c>
      <c r="AL87" s="490" t="s">
        <v>301</v>
      </c>
      <c r="AM87" s="491"/>
      <c r="AN87" s="491"/>
      <c r="AO87" s="159">
        <f t="shared" si="85"/>
        <v>24310.165408805031</v>
      </c>
      <c r="AP87" s="159">
        <f t="shared" si="86"/>
        <v>2816.7976470588237</v>
      </c>
      <c r="AQ87" s="159">
        <f t="shared" si="87"/>
        <v>1244.7638666666667</v>
      </c>
    </row>
    <row r="88" spans="1:43">
      <c r="A88" s="145"/>
      <c r="B88" s="111" t="s">
        <v>20</v>
      </c>
      <c r="C88" s="490" t="s">
        <v>302</v>
      </c>
      <c r="D88" s="491"/>
      <c r="E88" s="491"/>
      <c r="F88" s="149">
        <f t="shared" si="100"/>
        <v>0</v>
      </c>
      <c r="G88" s="149">
        <f t="shared" si="101"/>
        <v>0</v>
      </c>
      <c r="H88" s="149">
        <f t="shared" si="102"/>
        <v>0</v>
      </c>
      <c r="I88" s="149">
        <f t="shared" si="103"/>
        <v>0</v>
      </c>
      <c r="J88" s="149">
        <f t="shared" si="104"/>
        <v>91.238</v>
      </c>
      <c r="K88" s="149">
        <f t="shared" si="105"/>
        <v>101.745</v>
      </c>
      <c r="L88" s="101">
        <f t="shared" si="106"/>
        <v>0</v>
      </c>
      <c r="M88" s="101">
        <f t="shared" si="107"/>
        <v>0</v>
      </c>
      <c r="N88" s="101">
        <f t="shared" si="108"/>
        <v>0</v>
      </c>
      <c r="O88" s="101">
        <f t="shared" si="109"/>
        <v>0</v>
      </c>
      <c r="P88" s="101">
        <f t="shared" si="110"/>
        <v>6.5169999999999995</v>
      </c>
      <c r="Q88" s="101">
        <f t="shared" si="111"/>
        <v>13.923</v>
      </c>
      <c r="R88" s="101">
        <f t="shared" si="112"/>
        <v>0</v>
      </c>
      <c r="S88" s="101">
        <f t="shared" si="113"/>
        <v>0</v>
      </c>
      <c r="T88" s="101">
        <f t="shared" si="114"/>
        <v>0</v>
      </c>
      <c r="U88" s="101">
        <f t="shared" si="115"/>
        <v>0</v>
      </c>
      <c r="V88" s="101">
        <f t="shared" si="116"/>
        <v>189.67899999999997</v>
      </c>
      <c r="W88" s="150">
        <f t="shared" si="117"/>
        <v>70.329000000000008</v>
      </c>
      <c r="Z88" s="145"/>
      <c r="AA88" s="111" t="s">
        <v>20</v>
      </c>
      <c r="AB88" s="490" t="s">
        <v>302</v>
      </c>
      <c r="AC88" s="491"/>
      <c r="AD88" s="491"/>
      <c r="AE88" s="34">
        <f t="shared" si="99"/>
        <v>192.983</v>
      </c>
      <c r="AF88" s="34">
        <f t="shared" si="83"/>
        <v>20.439999999999998</v>
      </c>
      <c r="AG88" s="34">
        <f t="shared" si="84"/>
        <v>260.00799999999998</v>
      </c>
      <c r="AJ88" s="145"/>
      <c r="AK88" s="111" t="s">
        <v>20</v>
      </c>
      <c r="AL88" s="490" t="s">
        <v>302</v>
      </c>
      <c r="AM88" s="491"/>
      <c r="AN88" s="491"/>
      <c r="AO88" s="159">
        <f t="shared" si="85"/>
        <v>121.37295597484277</v>
      </c>
      <c r="AP88" s="159">
        <f t="shared" si="86"/>
        <v>12.023529411764704</v>
      </c>
      <c r="AQ88" s="159">
        <f t="shared" si="87"/>
        <v>8.6669333333333327</v>
      </c>
    </row>
    <row r="89" spans="1:43">
      <c r="A89" s="145"/>
      <c r="B89" s="111" t="s">
        <v>19</v>
      </c>
      <c r="C89" s="490" t="s">
        <v>303</v>
      </c>
      <c r="D89" s="491"/>
      <c r="E89" s="491"/>
      <c r="F89" s="149">
        <f t="shared" si="100"/>
        <v>0</v>
      </c>
      <c r="G89" s="149">
        <f t="shared" si="101"/>
        <v>0</v>
      </c>
      <c r="H89" s="149">
        <f t="shared" si="102"/>
        <v>0</v>
      </c>
      <c r="I89" s="149">
        <f t="shared" si="103"/>
        <v>0</v>
      </c>
      <c r="J89" s="149">
        <f t="shared" si="104"/>
        <v>161.46200000000002</v>
      </c>
      <c r="K89" s="149">
        <f t="shared" si="105"/>
        <v>2142.3450000000003</v>
      </c>
      <c r="L89" s="101">
        <f t="shared" si="106"/>
        <v>0</v>
      </c>
      <c r="M89" s="101">
        <f t="shared" si="107"/>
        <v>0</v>
      </c>
      <c r="N89" s="101">
        <f t="shared" si="108"/>
        <v>0</v>
      </c>
      <c r="O89" s="101">
        <f t="shared" si="109"/>
        <v>0</v>
      </c>
      <c r="P89" s="101">
        <f t="shared" si="110"/>
        <v>11.532999999999999</v>
      </c>
      <c r="Q89" s="101">
        <f t="shared" si="111"/>
        <v>293.16300000000001</v>
      </c>
      <c r="R89" s="101">
        <f t="shared" si="112"/>
        <v>0</v>
      </c>
      <c r="S89" s="101">
        <f t="shared" si="113"/>
        <v>0</v>
      </c>
      <c r="T89" s="101">
        <f t="shared" si="114"/>
        <v>0</v>
      </c>
      <c r="U89" s="101">
        <f t="shared" si="115"/>
        <v>0</v>
      </c>
      <c r="V89" s="101">
        <f t="shared" si="116"/>
        <v>335.67099999999994</v>
      </c>
      <c r="W89" s="150">
        <f t="shared" si="117"/>
        <v>1480.8490000000002</v>
      </c>
      <c r="Z89" s="145"/>
      <c r="AA89" s="111" t="s">
        <v>19</v>
      </c>
      <c r="AB89" s="490" t="s">
        <v>303</v>
      </c>
      <c r="AC89" s="491"/>
      <c r="AD89" s="491"/>
      <c r="AE89" s="34">
        <f t="shared" si="99"/>
        <v>2303.8070000000002</v>
      </c>
      <c r="AF89" s="34">
        <f t="shared" si="83"/>
        <v>304.69600000000003</v>
      </c>
      <c r="AG89" s="34">
        <f t="shared" si="84"/>
        <v>1816.52</v>
      </c>
      <c r="AJ89" s="145"/>
      <c r="AK89" s="111" t="s">
        <v>19</v>
      </c>
      <c r="AL89" s="490" t="s">
        <v>303</v>
      </c>
      <c r="AM89" s="491"/>
      <c r="AN89" s="491"/>
      <c r="AO89" s="159">
        <f t="shared" si="85"/>
        <v>1448.9352201257861</v>
      </c>
      <c r="AP89" s="159">
        <f t="shared" si="86"/>
        <v>179.2329411764706</v>
      </c>
      <c r="AQ89" s="159">
        <f t="shared" si="87"/>
        <v>60.550666666666665</v>
      </c>
    </row>
    <row r="90" spans="1:43" ht="16.5" customHeight="1">
      <c r="A90" s="145"/>
      <c r="B90" s="112"/>
      <c r="C90" s="490" t="s">
        <v>304</v>
      </c>
      <c r="D90" s="491"/>
      <c r="E90" s="491"/>
      <c r="F90" s="149">
        <f t="shared" si="100"/>
        <v>0</v>
      </c>
      <c r="G90" s="149">
        <f t="shared" si="101"/>
        <v>0</v>
      </c>
      <c r="H90" s="149">
        <f t="shared" si="102"/>
        <v>0</v>
      </c>
      <c r="I90" s="149">
        <f t="shared" si="103"/>
        <v>0</v>
      </c>
      <c r="J90" s="149">
        <f t="shared" si="104"/>
        <v>14.896000000000001</v>
      </c>
      <c r="K90" s="149">
        <f t="shared" si="105"/>
        <v>0</v>
      </c>
      <c r="L90" s="101">
        <f t="shared" si="106"/>
        <v>0</v>
      </c>
      <c r="M90" s="101">
        <f t="shared" si="107"/>
        <v>0</v>
      </c>
      <c r="N90" s="101">
        <f t="shared" si="108"/>
        <v>0</v>
      </c>
      <c r="O90" s="101">
        <f t="shared" si="109"/>
        <v>0</v>
      </c>
      <c r="P90" s="101">
        <f t="shared" si="110"/>
        <v>1.0640000000000001</v>
      </c>
      <c r="Q90" s="101">
        <f t="shared" si="111"/>
        <v>0</v>
      </c>
      <c r="R90" s="101">
        <f t="shared" si="112"/>
        <v>0</v>
      </c>
      <c r="S90" s="101">
        <f t="shared" si="113"/>
        <v>0</v>
      </c>
      <c r="T90" s="101">
        <f t="shared" si="114"/>
        <v>0</v>
      </c>
      <c r="U90" s="101">
        <f t="shared" si="115"/>
        <v>0</v>
      </c>
      <c r="V90" s="101">
        <f t="shared" si="116"/>
        <v>30.967999999999996</v>
      </c>
      <c r="W90" s="150">
        <f t="shared" si="117"/>
        <v>0</v>
      </c>
      <c r="Z90" s="145"/>
      <c r="AA90" s="112"/>
      <c r="AB90" s="490" t="s">
        <v>304</v>
      </c>
      <c r="AC90" s="491"/>
      <c r="AD90" s="491"/>
      <c r="AE90" s="34">
        <f>SUM(F90:K90)</f>
        <v>14.896000000000001</v>
      </c>
      <c r="AF90" s="34">
        <f t="shared" si="83"/>
        <v>1.0640000000000001</v>
      </c>
      <c r="AG90" s="34">
        <f t="shared" si="84"/>
        <v>30.967999999999996</v>
      </c>
      <c r="AJ90" s="145"/>
      <c r="AK90" s="112"/>
      <c r="AL90" s="490" t="s">
        <v>304</v>
      </c>
      <c r="AM90" s="491"/>
      <c r="AN90" s="491"/>
      <c r="AO90" s="159">
        <f t="shared" si="85"/>
        <v>9.3685534591194966</v>
      </c>
      <c r="AP90" s="159">
        <f t="shared" si="86"/>
        <v>0.62588235294117656</v>
      </c>
      <c r="AQ90" s="159">
        <f t="shared" si="87"/>
        <v>1.0322666666666664</v>
      </c>
    </row>
    <row r="91" spans="1:43" ht="17.25" customHeight="1">
      <c r="A91" s="145"/>
      <c r="B91" s="112"/>
      <c r="C91" s="490" t="s">
        <v>305</v>
      </c>
      <c r="D91" s="491"/>
      <c r="E91" s="491"/>
      <c r="F91" s="149">
        <f t="shared" si="100"/>
        <v>0</v>
      </c>
      <c r="G91" s="149">
        <f t="shared" si="101"/>
        <v>0</v>
      </c>
      <c r="H91" s="149">
        <f t="shared" si="102"/>
        <v>0</v>
      </c>
      <c r="I91" s="149">
        <f t="shared" si="103"/>
        <v>0</v>
      </c>
      <c r="J91" s="149">
        <f t="shared" si="104"/>
        <v>46.018000000000001</v>
      </c>
      <c r="K91" s="149">
        <f t="shared" si="105"/>
        <v>625.86</v>
      </c>
      <c r="L91" s="101">
        <f t="shared" si="106"/>
        <v>0</v>
      </c>
      <c r="M91" s="101">
        <f t="shared" si="107"/>
        <v>0</v>
      </c>
      <c r="N91" s="101">
        <f t="shared" si="108"/>
        <v>0</v>
      </c>
      <c r="O91" s="101">
        <f t="shared" si="109"/>
        <v>0</v>
      </c>
      <c r="P91" s="101">
        <f t="shared" si="110"/>
        <v>3.2869999999999999</v>
      </c>
      <c r="Q91" s="101">
        <f t="shared" si="111"/>
        <v>85.644000000000005</v>
      </c>
      <c r="R91" s="101">
        <f t="shared" si="112"/>
        <v>0</v>
      </c>
      <c r="S91" s="101">
        <f t="shared" si="113"/>
        <v>0</v>
      </c>
      <c r="T91" s="101">
        <f t="shared" si="114"/>
        <v>0</v>
      </c>
      <c r="U91" s="101">
        <f t="shared" si="115"/>
        <v>0</v>
      </c>
      <c r="V91" s="101">
        <f t="shared" si="116"/>
        <v>95.668999999999983</v>
      </c>
      <c r="W91" s="150">
        <f t="shared" si="117"/>
        <v>432.61200000000002</v>
      </c>
      <c r="Z91" s="145"/>
      <c r="AA91" s="112"/>
      <c r="AB91" s="490" t="s">
        <v>305</v>
      </c>
      <c r="AC91" s="491"/>
      <c r="AD91" s="491"/>
      <c r="AE91" s="34">
        <f t="shared" si="99"/>
        <v>671.87800000000004</v>
      </c>
      <c r="AF91" s="34">
        <f t="shared" si="83"/>
        <v>88.931000000000012</v>
      </c>
      <c r="AG91" s="34">
        <f t="shared" si="84"/>
        <v>528.28099999999995</v>
      </c>
      <c r="AJ91" s="145"/>
      <c r="AK91" s="112"/>
      <c r="AL91" s="490" t="s">
        <v>305</v>
      </c>
      <c r="AM91" s="491"/>
      <c r="AN91" s="491"/>
      <c r="AO91" s="159">
        <f t="shared" si="85"/>
        <v>422.56477987421385</v>
      </c>
      <c r="AP91" s="159">
        <f t="shared" si="86"/>
        <v>52.312352941176478</v>
      </c>
      <c r="AQ91" s="159">
        <f t="shared" si="87"/>
        <v>17.609366666666666</v>
      </c>
    </row>
    <row r="92" spans="1:43" ht="17.5" thickBot="1">
      <c r="A92" s="146"/>
      <c r="B92" s="147"/>
      <c r="C92" s="492" t="s">
        <v>47</v>
      </c>
      <c r="D92" s="493"/>
      <c r="E92" s="493"/>
      <c r="F92" s="151">
        <f t="shared" si="100"/>
        <v>0</v>
      </c>
      <c r="G92" s="151">
        <f t="shared" si="101"/>
        <v>0</v>
      </c>
      <c r="H92" s="151">
        <f t="shared" si="102"/>
        <v>0</v>
      </c>
      <c r="I92" s="151">
        <f t="shared" si="103"/>
        <v>0</v>
      </c>
      <c r="J92" s="151">
        <f t="shared" si="104"/>
        <v>3987.0740000000001</v>
      </c>
      <c r="K92" s="151">
        <f t="shared" si="105"/>
        <v>13059.840000000002</v>
      </c>
      <c r="L92" s="152">
        <f t="shared" si="106"/>
        <v>0</v>
      </c>
      <c r="M92" s="152">
        <f t="shared" si="107"/>
        <v>0</v>
      </c>
      <c r="N92" s="152">
        <f t="shared" si="108"/>
        <v>0</v>
      </c>
      <c r="O92" s="152">
        <f t="shared" si="109"/>
        <v>0</v>
      </c>
      <c r="P92" s="152">
        <f t="shared" si="110"/>
        <v>284.791</v>
      </c>
      <c r="Q92" s="152">
        <f t="shared" si="111"/>
        <v>1787.136</v>
      </c>
      <c r="R92" s="152">
        <f t="shared" si="112"/>
        <v>0</v>
      </c>
      <c r="S92" s="152">
        <f t="shared" si="113"/>
        <v>0</v>
      </c>
      <c r="T92" s="152">
        <f t="shared" si="114"/>
        <v>0</v>
      </c>
      <c r="U92" s="152">
        <f t="shared" si="115"/>
        <v>0</v>
      </c>
      <c r="V92" s="152">
        <f t="shared" si="116"/>
        <v>8288.9169999999995</v>
      </c>
      <c r="W92" s="153">
        <f>K54*U$24</f>
        <v>9027.3279999999995</v>
      </c>
      <c r="Z92" s="146"/>
      <c r="AA92" s="147"/>
      <c r="AB92" s="492" t="s">
        <v>47</v>
      </c>
      <c r="AC92" s="493"/>
      <c r="AD92" s="493"/>
      <c r="AE92" s="34">
        <f t="shared" si="99"/>
        <v>17046.914000000001</v>
      </c>
      <c r="AF92" s="34">
        <f t="shared" si="83"/>
        <v>2071.9270000000001</v>
      </c>
      <c r="AG92" s="34">
        <f t="shared" si="84"/>
        <v>17316.244999999999</v>
      </c>
      <c r="AJ92" s="146"/>
      <c r="AK92" s="147"/>
      <c r="AL92" s="492" t="s">
        <v>47</v>
      </c>
      <c r="AM92" s="493"/>
      <c r="AN92" s="493"/>
      <c r="AO92" s="159">
        <f t="shared" si="85"/>
        <v>10721.329559748428</v>
      </c>
      <c r="AP92" s="159">
        <f t="shared" si="86"/>
        <v>1218.7805882352943</v>
      </c>
      <c r="AQ92" s="159">
        <f t="shared" si="87"/>
        <v>577.20816666666667</v>
      </c>
    </row>
  </sheetData>
  <mergeCells count="174">
    <mergeCell ref="D39:E39"/>
    <mergeCell ref="D40:E40"/>
    <mergeCell ref="D41:E41"/>
    <mergeCell ref="C48:E48"/>
    <mergeCell ref="A17:E18"/>
    <mergeCell ref="F17:H17"/>
    <mergeCell ref="L17:L18"/>
    <mergeCell ref="A19:A36"/>
    <mergeCell ref="B19:E19"/>
    <mergeCell ref="D21:E21"/>
    <mergeCell ref="D22:E22"/>
    <mergeCell ref="C32:E32"/>
    <mergeCell ref="C38:E38"/>
    <mergeCell ref="C30:E30"/>
    <mergeCell ref="C36:E36"/>
    <mergeCell ref="C20:E20"/>
    <mergeCell ref="D23:E23"/>
    <mergeCell ref="AD50:AE51"/>
    <mergeCell ref="AF50:AG50"/>
    <mergeCell ref="AF51:AG51"/>
    <mergeCell ref="C54:E54"/>
    <mergeCell ref="A10:B10"/>
    <mergeCell ref="A11:A12"/>
    <mergeCell ref="AC35:AG35"/>
    <mergeCell ref="AC36:AC43"/>
    <mergeCell ref="AF39:AG39"/>
    <mergeCell ref="AF40:AG40"/>
    <mergeCell ref="AF41:AG41"/>
    <mergeCell ref="D42:D44"/>
    <mergeCell ref="C49:E49"/>
    <mergeCell ref="C50:E50"/>
    <mergeCell ref="C51:E51"/>
    <mergeCell ref="C52:E52"/>
    <mergeCell ref="C53:E53"/>
    <mergeCell ref="D24:D26"/>
    <mergeCell ref="C31:E31"/>
    <mergeCell ref="C33:E33"/>
    <mergeCell ref="C34:E34"/>
    <mergeCell ref="C35:E35"/>
    <mergeCell ref="A37:A54"/>
    <mergeCell ref="B37:E37"/>
    <mergeCell ref="U79:U80"/>
    <mergeCell ref="V79:V80"/>
    <mergeCell ref="W79:W80"/>
    <mergeCell ref="AC63:AD63"/>
    <mergeCell ref="W61:W62"/>
    <mergeCell ref="C74:E74"/>
    <mergeCell ref="C68:E68"/>
    <mergeCell ref="C69:E69"/>
    <mergeCell ref="C70:E70"/>
    <mergeCell ref="C71:E71"/>
    <mergeCell ref="C72:E72"/>
    <mergeCell ref="C73:E73"/>
    <mergeCell ref="A61:E62"/>
    <mergeCell ref="D63:E63"/>
    <mergeCell ref="D64:D65"/>
    <mergeCell ref="AB71:AD71"/>
    <mergeCell ref="AB72:AD72"/>
    <mergeCell ref="P18:U18"/>
    <mergeCell ref="X18:AC18"/>
    <mergeCell ref="AJ17:AJ21"/>
    <mergeCell ref="AK17:AR17"/>
    <mergeCell ref="AS17:AZ17"/>
    <mergeCell ref="AK18:AP18"/>
    <mergeCell ref="AQ18:AR19"/>
    <mergeCell ref="AS18:AX18"/>
    <mergeCell ref="AY18:AZ19"/>
    <mergeCell ref="AK19:AN19"/>
    <mergeCell ref="AC20:AC21"/>
    <mergeCell ref="AD20:AD21"/>
    <mergeCell ref="AE20:AE21"/>
    <mergeCell ref="P19:S19"/>
    <mergeCell ref="T19:U19"/>
    <mergeCell ref="X19:AA19"/>
    <mergeCell ref="AB19:AC19"/>
    <mergeCell ref="X17:AE17"/>
    <mergeCell ref="V18:W19"/>
    <mergeCell ref="AD18:AE19"/>
    <mergeCell ref="S20:S21"/>
    <mergeCell ref="T20:T21"/>
    <mergeCell ref="U20:U21"/>
    <mergeCell ref="V20:V21"/>
    <mergeCell ref="AO19:AP19"/>
    <mergeCell ref="AS19:AV19"/>
    <mergeCell ref="AW19:AX19"/>
    <mergeCell ref="AN20:AN21"/>
    <mergeCell ref="AO20:AO21"/>
    <mergeCell ref="AP20:AP21"/>
    <mergeCell ref="AQ20:AQ21"/>
    <mergeCell ref="AR20:AR21"/>
    <mergeCell ref="AV20:AV21"/>
    <mergeCell ref="AW20:AW21"/>
    <mergeCell ref="AX20:AX21"/>
    <mergeCell ref="AY20:AY21"/>
    <mergeCell ref="AZ20:AZ21"/>
    <mergeCell ref="I61:I62"/>
    <mergeCell ref="O61:O62"/>
    <mergeCell ref="U61:U62"/>
    <mergeCell ref="J61:J62"/>
    <mergeCell ref="K61:K62"/>
    <mergeCell ref="P61:P62"/>
    <mergeCell ref="Q61:Q62"/>
    <mergeCell ref="W20:W21"/>
    <mergeCell ref="AA20:AA21"/>
    <mergeCell ref="AB20:AB21"/>
    <mergeCell ref="O17:O21"/>
    <mergeCell ref="P17:W17"/>
    <mergeCell ref="F60:K60"/>
    <mergeCell ref="V61:V62"/>
    <mergeCell ref="AD42:AE43"/>
    <mergeCell ref="AF42:AG42"/>
    <mergeCell ref="AF43:AG43"/>
    <mergeCell ref="AC44:AC51"/>
    <mergeCell ref="AF47:AG47"/>
    <mergeCell ref="AF48:AG48"/>
    <mergeCell ref="AF49:AG49"/>
    <mergeCell ref="AJ61:AN62"/>
    <mergeCell ref="D81:E81"/>
    <mergeCell ref="D82:D83"/>
    <mergeCell ref="C92:E92"/>
    <mergeCell ref="Z61:AD62"/>
    <mergeCell ref="L60:Q60"/>
    <mergeCell ref="R60:W60"/>
    <mergeCell ref="F78:K78"/>
    <mergeCell ref="L78:Q78"/>
    <mergeCell ref="R78:W78"/>
    <mergeCell ref="A79:E80"/>
    <mergeCell ref="I79:I80"/>
    <mergeCell ref="J79:J80"/>
    <mergeCell ref="K79:K80"/>
    <mergeCell ref="O79:O80"/>
    <mergeCell ref="C90:E90"/>
    <mergeCell ref="C91:E91"/>
    <mergeCell ref="P79:P80"/>
    <mergeCell ref="C86:E86"/>
    <mergeCell ref="C87:E87"/>
    <mergeCell ref="C88:E88"/>
    <mergeCell ref="C89:E89"/>
    <mergeCell ref="Q79:Q80"/>
    <mergeCell ref="AB91:AD91"/>
    <mergeCell ref="AB92:AD92"/>
    <mergeCell ref="AM63:AN63"/>
    <mergeCell ref="AM64:AM65"/>
    <mergeCell ref="AL68:AN68"/>
    <mergeCell ref="AL69:AN69"/>
    <mergeCell ref="AL70:AN70"/>
    <mergeCell ref="AL71:AN71"/>
    <mergeCell ref="AL72:AN72"/>
    <mergeCell ref="AC82:AC83"/>
    <mergeCell ref="AB86:AD86"/>
    <mergeCell ref="AB87:AD87"/>
    <mergeCell ref="AB88:AD88"/>
    <mergeCell ref="AB89:AD89"/>
    <mergeCell ref="AB90:AD90"/>
    <mergeCell ref="AC81:AD81"/>
    <mergeCell ref="AB73:AD73"/>
    <mergeCell ref="AB74:AD74"/>
    <mergeCell ref="Z79:AD80"/>
    <mergeCell ref="AC64:AC65"/>
    <mergeCell ref="AB68:AD68"/>
    <mergeCell ref="AB69:AD69"/>
    <mergeCell ref="AB70:AD70"/>
    <mergeCell ref="AL87:AN87"/>
    <mergeCell ref="AL88:AN88"/>
    <mergeCell ref="AL89:AN89"/>
    <mergeCell ref="AL90:AN90"/>
    <mergeCell ref="AL91:AN91"/>
    <mergeCell ref="AL92:AN92"/>
    <mergeCell ref="AL73:AN73"/>
    <mergeCell ref="AL74:AN74"/>
    <mergeCell ref="AJ79:AN80"/>
    <mergeCell ref="AM81:AN81"/>
    <mergeCell ref="AM82:AM83"/>
    <mergeCell ref="AL86:AN86"/>
  </mergeCells>
  <phoneticPr fontId="2" type="noConversion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8"/>
  <sheetViews>
    <sheetView workbookViewId="0">
      <selection activeCell="G18" sqref="G18"/>
    </sheetView>
  </sheetViews>
  <sheetFormatPr defaultRowHeight="17"/>
  <cols>
    <col min="1" max="1" width="33.08203125" customWidth="1"/>
    <col min="2" max="14" width="8.83203125" customWidth="1"/>
  </cols>
  <sheetData>
    <row r="1" spans="1:26">
      <c r="A1" s="32" t="s">
        <v>243</v>
      </c>
      <c r="B1" t="s">
        <v>400</v>
      </c>
      <c r="V1" s="32" t="s">
        <v>242</v>
      </c>
      <c r="W1" t="s">
        <v>241</v>
      </c>
    </row>
    <row r="2" spans="1:26">
      <c r="B2" t="s">
        <v>153</v>
      </c>
      <c r="C2" t="s">
        <v>399</v>
      </c>
      <c r="W2" t="s">
        <v>239</v>
      </c>
    </row>
    <row r="3" spans="1:26">
      <c r="B3" t="s">
        <v>401</v>
      </c>
      <c r="W3" t="s">
        <v>238</v>
      </c>
    </row>
    <row r="5" spans="1:26">
      <c r="A5" t="s">
        <v>402</v>
      </c>
    </row>
    <row r="6" spans="1:26" ht="17.5" thickBot="1">
      <c r="A6" s="32" t="s">
        <v>408</v>
      </c>
      <c r="N6" t="s">
        <v>411</v>
      </c>
      <c r="T6" t="s">
        <v>422</v>
      </c>
    </row>
    <row r="7" spans="1:26" ht="18" thickTop="1" thickBot="1">
      <c r="B7" s="659" t="s">
        <v>156</v>
      </c>
      <c r="C7" s="659"/>
      <c r="D7" s="659" t="s">
        <v>157</v>
      </c>
      <c r="E7" s="659"/>
      <c r="F7" s="659" t="s">
        <v>158</v>
      </c>
      <c r="G7" s="659"/>
      <c r="H7" s="659" t="s">
        <v>403</v>
      </c>
      <c r="I7" s="659"/>
      <c r="J7" s="659" t="s">
        <v>246</v>
      </c>
      <c r="K7" s="659"/>
      <c r="L7" s="659" t="s">
        <v>11</v>
      </c>
      <c r="M7" s="659"/>
      <c r="N7" s="659"/>
      <c r="T7" s="472" t="s">
        <v>421</v>
      </c>
      <c r="U7" s="473"/>
      <c r="V7" s="474"/>
      <c r="W7" s="173" t="s">
        <v>156</v>
      </c>
      <c r="X7" s="174" t="s">
        <v>157</v>
      </c>
      <c r="Y7" t="s">
        <v>423</v>
      </c>
      <c r="Z7" t="s">
        <v>424</v>
      </c>
    </row>
    <row r="8" spans="1:26" ht="24.5" thickTop="1">
      <c r="B8" s="169" t="s">
        <v>404</v>
      </c>
      <c r="C8" s="169" t="s">
        <v>41</v>
      </c>
      <c r="D8" s="169" t="s">
        <v>404</v>
      </c>
      <c r="E8" s="169" t="s">
        <v>41</v>
      </c>
      <c r="F8" s="169" t="s">
        <v>404</v>
      </c>
      <c r="G8" s="169" t="s">
        <v>41</v>
      </c>
      <c r="H8" s="169" t="s">
        <v>404</v>
      </c>
      <c r="I8" s="169" t="s">
        <v>41</v>
      </c>
      <c r="J8" s="169" t="s">
        <v>404</v>
      </c>
      <c r="K8" s="169" t="s">
        <v>41</v>
      </c>
      <c r="L8" s="169" t="s">
        <v>404</v>
      </c>
      <c r="M8" s="169" t="s">
        <v>41</v>
      </c>
      <c r="N8" s="169" t="s">
        <v>405</v>
      </c>
      <c r="T8" s="475" t="s">
        <v>413</v>
      </c>
      <c r="U8" s="175" t="s">
        <v>414</v>
      </c>
      <c r="V8" s="177" t="s">
        <v>9</v>
      </c>
      <c r="W8" s="178">
        <v>2.25</v>
      </c>
      <c r="X8" s="179">
        <v>2.09</v>
      </c>
      <c r="Y8">
        <v>11.58</v>
      </c>
      <c r="Z8">
        <v>28.79</v>
      </c>
    </row>
    <row r="9" spans="1:26" ht="32">
      <c r="A9" s="165" t="s">
        <v>409</v>
      </c>
      <c r="B9" s="171">
        <v>3432</v>
      </c>
      <c r="C9" s="171">
        <v>3432</v>
      </c>
      <c r="D9" s="172">
        <v>642</v>
      </c>
      <c r="E9" s="172">
        <v>642</v>
      </c>
      <c r="F9" s="171">
        <v>1989</v>
      </c>
      <c r="G9" s="171">
        <v>1989</v>
      </c>
      <c r="H9" s="171">
        <v>2313</v>
      </c>
      <c r="I9" s="171">
        <v>2313</v>
      </c>
      <c r="J9" s="172">
        <v>796</v>
      </c>
      <c r="K9" s="172">
        <v>796</v>
      </c>
      <c r="L9" s="171">
        <v>9172</v>
      </c>
      <c r="M9" s="171">
        <v>9172</v>
      </c>
      <c r="N9" s="171">
        <v>18344</v>
      </c>
      <c r="T9" s="466"/>
      <c r="U9" s="176" t="s">
        <v>415</v>
      </c>
      <c r="V9" s="180" t="s">
        <v>10</v>
      </c>
      <c r="W9" s="167">
        <v>2.25</v>
      </c>
      <c r="X9" s="168">
        <v>2.09</v>
      </c>
    </row>
    <row r="10" spans="1:26" ht="26">
      <c r="A10" s="165" t="s">
        <v>406</v>
      </c>
      <c r="B10" s="171">
        <v>1225</v>
      </c>
      <c r="C10" s="171">
        <v>1225</v>
      </c>
      <c r="D10" s="172">
        <v>864</v>
      </c>
      <c r="E10" s="172">
        <v>864</v>
      </c>
      <c r="F10" s="171">
        <v>3697</v>
      </c>
      <c r="G10" s="171">
        <v>3697</v>
      </c>
      <c r="H10" s="171">
        <v>1623</v>
      </c>
      <c r="I10" s="171">
        <v>1623</v>
      </c>
      <c r="J10" s="171">
        <v>1291</v>
      </c>
      <c r="K10" s="171">
        <v>1291</v>
      </c>
      <c r="L10" s="171">
        <v>8700</v>
      </c>
      <c r="M10" s="171">
        <v>8700</v>
      </c>
      <c r="N10" s="171">
        <v>17400</v>
      </c>
      <c r="T10" s="466"/>
      <c r="U10" s="181" t="s">
        <v>168</v>
      </c>
      <c r="V10" s="468" t="s">
        <v>10</v>
      </c>
      <c r="W10" s="470">
        <v>1.55</v>
      </c>
      <c r="X10" s="461">
        <v>1</v>
      </c>
    </row>
    <row r="11" spans="1:26" ht="39">
      <c r="A11" s="165" t="s">
        <v>407</v>
      </c>
      <c r="B11" s="171">
        <v>1671</v>
      </c>
      <c r="C11" s="171">
        <v>1671</v>
      </c>
      <c r="D11" s="172">
        <v>280</v>
      </c>
      <c r="E11" s="172">
        <v>280</v>
      </c>
      <c r="F11" s="172">
        <v>857</v>
      </c>
      <c r="G11" s="172">
        <v>857</v>
      </c>
      <c r="H11" s="171">
        <v>1025</v>
      </c>
      <c r="I11" s="171">
        <v>1025</v>
      </c>
      <c r="J11" s="172">
        <v>380</v>
      </c>
      <c r="K11" s="172">
        <v>380</v>
      </c>
      <c r="L11" s="171">
        <v>4213</v>
      </c>
      <c r="M11" s="171">
        <v>4213</v>
      </c>
      <c r="N11" s="171">
        <v>8426</v>
      </c>
      <c r="T11" s="466"/>
      <c r="U11" s="176" t="s">
        <v>416</v>
      </c>
      <c r="V11" s="469"/>
      <c r="W11" s="471"/>
      <c r="X11" s="462"/>
    </row>
    <row r="12" spans="1:26" ht="34">
      <c r="A12" s="165" t="s">
        <v>410</v>
      </c>
      <c r="B12" s="171">
        <v>2896</v>
      </c>
      <c r="C12" s="171">
        <v>2896</v>
      </c>
      <c r="D12" s="171">
        <v>1144</v>
      </c>
      <c r="E12" s="171">
        <v>1144</v>
      </c>
      <c r="F12" s="171">
        <v>4554</v>
      </c>
      <c r="G12" s="171">
        <v>4554</v>
      </c>
      <c r="H12" s="171">
        <v>2648</v>
      </c>
      <c r="I12" s="171">
        <v>2648</v>
      </c>
      <c r="J12" s="171">
        <v>1671</v>
      </c>
      <c r="K12" s="171">
        <v>1671</v>
      </c>
      <c r="L12" s="171">
        <v>12913</v>
      </c>
      <c r="M12" s="171">
        <v>12913</v>
      </c>
      <c r="N12" s="171">
        <v>25826</v>
      </c>
      <c r="T12" s="466"/>
      <c r="U12" s="181" t="s">
        <v>168</v>
      </c>
      <c r="V12" s="180" t="s">
        <v>9</v>
      </c>
      <c r="W12" s="167">
        <v>1.1599999999999999</v>
      </c>
      <c r="X12" s="168">
        <v>1</v>
      </c>
    </row>
    <row r="13" spans="1:26" ht="29">
      <c r="A13" s="164"/>
      <c r="T13" s="466"/>
      <c r="U13" s="176" t="s">
        <v>417</v>
      </c>
      <c r="V13" s="180" t="s">
        <v>10</v>
      </c>
      <c r="W13" s="167">
        <v>1.57</v>
      </c>
      <c r="X13" s="168">
        <v>1.43</v>
      </c>
    </row>
    <row r="14" spans="1:26" ht="28">
      <c r="A14" s="166" t="s">
        <v>412</v>
      </c>
      <c r="T14" s="466"/>
      <c r="U14" s="463" t="s">
        <v>14</v>
      </c>
      <c r="V14" s="180" t="s">
        <v>9</v>
      </c>
      <c r="W14" s="167">
        <v>1.42</v>
      </c>
      <c r="X14" s="168">
        <v>1.41</v>
      </c>
    </row>
    <row r="15" spans="1:26">
      <c r="B15" s="660" t="s">
        <v>156</v>
      </c>
      <c r="C15" s="660"/>
      <c r="D15" s="660" t="s">
        <v>157</v>
      </c>
      <c r="E15" s="660"/>
      <c r="F15" s="660" t="s">
        <v>425</v>
      </c>
      <c r="G15" s="660"/>
      <c r="H15" s="659" t="s">
        <v>403</v>
      </c>
      <c r="I15" s="659"/>
      <c r="J15" s="659" t="s">
        <v>246</v>
      </c>
      <c r="K15" s="659"/>
      <c r="L15" s="659" t="s">
        <v>11</v>
      </c>
      <c r="M15" s="659"/>
      <c r="N15" s="659"/>
      <c r="T15" s="466"/>
      <c r="U15" s="464"/>
      <c r="V15" s="180" t="s">
        <v>10</v>
      </c>
      <c r="W15" s="167">
        <v>1.82</v>
      </c>
      <c r="X15" s="168">
        <v>1.82</v>
      </c>
    </row>
    <row r="16" spans="1:26">
      <c r="B16" s="186" t="s">
        <v>404</v>
      </c>
      <c r="C16" s="186" t="s">
        <v>41</v>
      </c>
      <c r="D16" s="186" t="s">
        <v>404</v>
      </c>
      <c r="E16" s="186" t="s">
        <v>41</v>
      </c>
      <c r="F16" s="186" t="s">
        <v>404</v>
      </c>
      <c r="G16" s="186" t="s">
        <v>41</v>
      </c>
      <c r="H16" s="169" t="s">
        <v>404</v>
      </c>
      <c r="I16" s="169" t="s">
        <v>41</v>
      </c>
      <c r="J16" s="169" t="s">
        <v>404</v>
      </c>
      <c r="K16" s="169" t="s">
        <v>41</v>
      </c>
      <c r="L16" s="169" t="s">
        <v>404</v>
      </c>
      <c r="M16" s="169" t="s">
        <v>41</v>
      </c>
      <c r="N16" s="169" t="s">
        <v>405</v>
      </c>
      <c r="T16" s="466"/>
      <c r="U16" s="181" t="s">
        <v>418</v>
      </c>
      <c r="V16" s="180" t="s">
        <v>9</v>
      </c>
      <c r="W16" s="167">
        <v>3.1</v>
      </c>
      <c r="X16" s="168">
        <v>2.31</v>
      </c>
    </row>
    <row r="17" spans="1:24" ht="32">
      <c r="A17" s="165" t="s">
        <v>409</v>
      </c>
      <c r="B17" s="187">
        <v>1731</v>
      </c>
      <c r="C17" s="187">
        <v>1731</v>
      </c>
      <c r="D17" s="188">
        <v>452</v>
      </c>
      <c r="E17" s="188">
        <v>452</v>
      </c>
      <c r="F17" s="162">
        <f>F9/$Z$8</f>
        <v>69.086488364015281</v>
      </c>
      <c r="G17" s="162">
        <f t="shared" ref="G17:G20" si="0">G9/$Z$8</f>
        <v>69.086488364015281</v>
      </c>
      <c r="H17" s="98"/>
      <c r="I17" s="98"/>
      <c r="J17" s="98"/>
      <c r="K17" s="98"/>
      <c r="L17" s="170">
        <v>2183</v>
      </c>
      <c r="M17" s="170">
        <v>2183</v>
      </c>
      <c r="N17" s="170">
        <v>4366</v>
      </c>
      <c r="T17" s="476"/>
      <c r="U17" s="176" t="s">
        <v>419</v>
      </c>
      <c r="V17" s="180" t="s">
        <v>10</v>
      </c>
      <c r="W17" s="167">
        <v>3.1</v>
      </c>
      <c r="X17" s="168">
        <v>2.31</v>
      </c>
    </row>
    <row r="18" spans="1:24" ht="26">
      <c r="A18" s="165" t="s">
        <v>406</v>
      </c>
      <c r="B18" s="188">
        <v>544</v>
      </c>
      <c r="C18" s="188">
        <v>544</v>
      </c>
      <c r="D18" s="188">
        <v>827</v>
      </c>
      <c r="E18" s="188">
        <v>827</v>
      </c>
      <c r="F18" s="162">
        <f t="shared" ref="F18" si="1">F10/$Z$8</f>
        <v>128.41264327891631</v>
      </c>
      <c r="G18" s="162">
        <f t="shared" si="0"/>
        <v>128.41264327891631</v>
      </c>
      <c r="H18" s="98"/>
      <c r="I18" s="98"/>
      <c r="J18" s="98"/>
      <c r="K18" s="98"/>
      <c r="L18" s="170">
        <v>1371</v>
      </c>
      <c r="M18" s="170">
        <v>1371</v>
      </c>
      <c r="N18" s="170">
        <v>2742</v>
      </c>
      <c r="T18" s="465" t="s">
        <v>420</v>
      </c>
      <c r="U18" s="181" t="s">
        <v>414</v>
      </c>
      <c r="V18" s="180" t="s">
        <v>9</v>
      </c>
      <c r="W18" s="167">
        <v>2.25</v>
      </c>
      <c r="X18" s="168">
        <v>2.09</v>
      </c>
    </row>
    <row r="19" spans="1:24" ht="39">
      <c r="A19" s="165" t="s">
        <v>407</v>
      </c>
      <c r="B19" s="188">
        <v>874</v>
      </c>
      <c r="C19" s="188">
        <v>874</v>
      </c>
      <c r="D19" s="188">
        <v>188</v>
      </c>
      <c r="E19" s="188">
        <v>188</v>
      </c>
      <c r="F19" s="162">
        <f t="shared" ref="F19" si="2">F11/$Z$8</f>
        <v>29.767280305661689</v>
      </c>
      <c r="G19" s="162">
        <f t="shared" si="0"/>
        <v>29.767280305661689</v>
      </c>
      <c r="H19" s="98"/>
      <c r="I19" s="98"/>
      <c r="J19" s="98"/>
      <c r="K19" s="98"/>
      <c r="L19" s="170">
        <v>1062</v>
      </c>
      <c r="M19" s="170">
        <v>1062</v>
      </c>
      <c r="N19" s="170">
        <v>2124</v>
      </c>
      <c r="T19" s="466"/>
      <c r="U19" s="176" t="s">
        <v>415</v>
      </c>
      <c r="V19" s="180" t="s">
        <v>10</v>
      </c>
      <c r="W19" s="167">
        <v>2.25</v>
      </c>
      <c r="X19" s="168">
        <v>2.09</v>
      </c>
    </row>
    <row r="20" spans="1:24" ht="34">
      <c r="A20" s="165" t="s">
        <v>410</v>
      </c>
      <c r="B20" s="187">
        <v>1418</v>
      </c>
      <c r="C20" s="187">
        <v>1418</v>
      </c>
      <c r="D20" s="187">
        <v>1015</v>
      </c>
      <c r="E20" s="187">
        <v>1015</v>
      </c>
      <c r="F20" s="162">
        <f t="shared" ref="F20" si="3">F12/$Z$8</f>
        <v>158.17992358457798</v>
      </c>
      <c r="G20" s="162">
        <f t="shared" si="0"/>
        <v>158.17992358457798</v>
      </c>
      <c r="H20" s="98"/>
      <c r="I20" s="98"/>
      <c r="J20" s="98"/>
      <c r="K20" s="98"/>
      <c r="L20" s="170">
        <v>2433</v>
      </c>
      <c r="M20" s="170">
        <v>2433</v>
      </c>
      <c r="N20" s="170">
        <v>4866</v>
      </c>
      <c r="T20" s="466"/>
      <c r="U20" s="181" t="s">
        <v>168</v>
      </c>
      <c r="V20" s="468" t="s">
        <v>10</v>
      </c>
      <c r="W20" s="470">
        <v>1.55</v>
      </c>
      <c r="X20" s="461">
        <v>1</v>
      </c>
    </row>
    <row r="21" spans="1:24">
      <c r="T21" s="466"/>
      <c r="U21" s="176" t="s">
        <v>416</v>
      </c>
      <c r="V21" s="469"/>
      <c r="W21" s="471"/>
      <c r="X21" s="462"/>
    </row>
    <row r="22" spans="1:24">
      <c r="T22" s="466"/>
      <c r="U22" s="181" t="s">
        <v>168</v>
      </c>
      <c r="V22" s="180" t="s">
        <v>9</v>
      </c>
      <c r="W22" s="167">
        <v>1.2</v>
      </c>
      <c r="X22" s="168">
        <v>1.25</v>
      </c>
    </row>
    <row r="23" spans="1:24" ht="29">
      <c r="T23" s="466"/>
      <c r="U23" s="176" t="s">
        <v>417</v>
      </c>
      <c r="V23" s="180" t="s">
        <v>10</v>
      </c>
      <c r="W23" s="167">
        <v>1.64</v>
      </c>
      <c r="X23" s="168">
        <v>1.67</v>
      </c>
    </row>
    <row r="24" spans="1:24">
      <c r="T24" s="466"/>
      <c r="U24" s="463" t="s">
        <v>14</v>
      </c>
      <c r="V24" s="180" t="s">
        <v>9</v>
      </c>
      <c r="W24" s="167">
        <v>1.43</v>
      </c>
      <c r="X24" s="168">
        <v>1.41</v>
      </c>
    </row>
    <row r="25" spans="1:24">
      <c r="T25" s="466"/>
      <c r="U25" s="464"/>
      <c r="V25" s="180" t="s">
        <v>10</v>
      </c>
      <c r="W25" s="167">
        <v>1.96</v>
      </c>
      <c r="X25" s="168">
        <v>1.91</v>
      </c>
    </row>
    <row r="26" spans="1:24">
      <c r="T26" s="466"/>
      <c r="U26" s="181" t="s">
        <v>418</v>
      </c>
      <c r="V26" s="180" t="s">
        <v>9</v>
      </c>
      <c r="W26" s="167">
        <v>3.5</v>
      </c>
      <c r="X26" s="168">
        <v>2.02</v>
      </c>
    </row>
    <row r="27" spans="1:24" ht="17.5" thickBot="1">
      <c r="T27" s="467"/>
      <c r="U27" s="182" t="s">
        <v>419</v>
      </c>
      <c r="V27" s="183" t="s">
        <v>10</v>
      </c>
      <c r="W27" s="184">
        <v>3.5</v>
      </c>
      <c r="X27" s="185">
        <v>2.02</v>
      </c>
    </row>
    <row r="28" spans="1:24" ht="17.5" thickTop="1"/>
  </sheetData>
  <mergeCells count="23">
    <mergeCell ref="L7:N7"/>
    <mergeCell ref="B15:C15"/>
    <mergeCell ref="D15:E15"/>
    <mergeCell ref="F15:G15"/>
    <mergeCell ref="H15:I15"/>
    <mergeCell ref="J15:K15"/>
    <mergeCell ref="L15:N15"/>
    <mergeCell ref="B7:C7"/>
    <mergeCell ref="D7:E7"/>
    <mergeCell ref="F7:G7"/>
    <mergeCell ref="H7:I7"/>
    <mergeCell ref="J7:K7"/>
    <mergeCell ref="T7:V7"/>
    <mergeCell ref="T8:T17"/>
    <mergeCell ref="V10:V11"/>
    <mergeCell ref="W10:W11"/>
    <mergeCell ref="X10:X11"/>
    <mergeCell ref="U14:U15"/>
    <mergeCell ref="T18:T27"/>
    <mergeCell ref="V20:V21"/>
    <mergeCell ref="W20:W21"/>
    <mergeCell ref="X20:X21"/>
    <mergeCell ref="U24:U25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"/>
  <sheetViews>
    <sheetView workbookViewId="0">
      <selection activeCell="B3" sqref="B3"/>
    </sheetView>
  </sheetViews>
  <sheetFormatPr defaultRowHeight="17"/>
  <sheetData>
    <row r="1" spans="1:3">
      <c r="A1" s="32" t="s">
        <v>243</v>
      </c>
    </row>
    <row r="2" spans="1:3">
      <c r="B2" t="s">
        <v>153</v>
      </c>
      <c r="C2" t="s">
        <v>426</v>
      </c>
    </row>
    <row r="3" spans="1:3">
      <c r="B3" t="s">
        <v>401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59999389629810485"/>
  </sheetPr>
  <dimension ref="A1:C2"/>
  <sheetViews>
    <sheetView workbookViewId="0">
      <selection activeCell="I38" sqref="I38"/>
    </sheetView>
  </sheetViews>
  <sheetFormatPr defaultRowHeight="17"/>
  <cols>
    <col min="2" max="3" width="17.75" bestFit="1" customWidth="1"/>
  </cols>
  <sheetData>
    <row r="1" spans="1:3">
      <c r="A1" s="194" t="s">
        <v>901</v>
      </c>
      <c r="B1" s="194">
        <v>859</v>
      </c>
      <c r="C1" s="194">
        <v>849</v>
      </c>
    </row>
    <row r="2" spans="1:3">
      <c r="A2" s="194">
        <f>기준년도설정!B1</f>
        <v>2040</v>
      </c>
      <c r="B2" s="411">
        <f>'A.일산테크노밸리(859991)_수정'!EH140</f>
        <v>11190.625044767681</v>
      </c>
      <c r="C2" s="411">
        <f>'E.관광문화단지(849301)_수정'!EQ60+'C.장항공공주택지구(849992)'!EY180+'B.고양영상밸리(849991)_수정'!EQ108</f>
        <v>17445.874694430448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89</vt:i4>
      </vt:variant>
    </vt:vector>
  </HeadingPairs>
  <TitlesOfParts>
    <vt:vector size="89" baseType="lpstr">
      <vt:lpstr>기준년도설정</vt:lpstr>
      <vt:lpstr>exptE-FD-H_pc_od_zone_O_YYMMDD</vt:lpstr>
      <vt:lpstr>exptE-FD-H_pc_od_zone_D_YYMMDD</vt:lpstr>
      <vt:lpstr>exptE-FD-H_bus_od_zone_O_YYMMDD</vt:lpstr>
      <vt:lpstr>exptE-FD-H_bus_od_zone_D_YYMMDD</vt:lpstr>
      <vt:lpstr>exptE-FD-F_fod_zone_O_YYMMDD</vt:lpstr>
      <vt:lpstr>exptE-FD-F_fod_zone_D_YYMMDD</vt:lpstr>
      <vt:lpstr>exptD-FD-H_pc_od_zone_O_YYMMDD</vt:lpstr>
      <vt:lpstr>exptD-FD-H_pc_od_zone_D_YYMMDD</vt:lpstr>
      <vt:lpstr>exptD-FD-H_bus_od_zone_O_YYMMDD</vt:lpstr>
      <vt:lpstr>exptD-FD-H_bus_od_zone_D_YYMMDD</vt:lpstr>
      <vt:lpstr>exptD-FD-F_fod_zone_O_YYMMDD</vt:lpstr>
      <vt:lpstr>exptD-FD-F_fod_zone_D_YYMMDD</vt:lpstr>
      <vt:lpstr>exptC-FD-H_pc_od_zone_O_YYMMDD</vt:lpstr>
      <vt:lpstr>exptC-FD-H_pc_od_zone_D_YYMMDD</vt:lpstr>
      <vt:lpstr>exptC-FD-H_bus_od_zone_O_YYMMDD</vt:lpstr>
      <vt:lpstr>exptC-FD-H_bus_od_zone_D_YYMMDD</vt:lpstr>
      <vt:lpstr>exptC-FD-F_fod_zone_O_YYMMDD</vt:lpstr>
      <vt:lpstr>exptC-FD-F_fod_zone_D_YYMMDD</vt:lpstr>
      <vt:lpstr>exptB-FD-H_pc_od_zone_O_YYMMDD</vt:lpstr>
      <vt:lpstr>exptB-FD-H_pc_od_zone_D_YYMMDD</vt:lpstr>
      <vt:lpstr>exptB-FD-H_bus_od_zone_O_YYMMDD</vt:lpstr>
      <vt:lpstr>exptB-FD-H_bus_od_zone_D_YYMMDD</vt:lpstr>
      <vt:lpstr>exptB-FD-F_fod_zone_O_YYMMDD</vt:lpstr>
      <vt:lpstr>exptB-FD-F_fod_zone_D_YYMMDD</vt:lpstr>
      <vt:lpstr>exptA-FD-H_pc_od_zone_O_YYMMDD</vt:lpstr>
      <vt:lpstr>exptA-FD-H_pc_od_zone_D_YYMMDD</vt:lpstr>
      <vt:lpstr>exptA-FD-H_bus_od_zone_O_YYMMDD</vt:lpstr>
      <vt:lpstr>exptA-FD-H_bus_od_zone_D_YYMMDD</vt:lpstr>
      <vt:lpstr>exptA-FD-F_fod_zone_O_YYMMDD</vt:lpstr>
      <vt:lpstr>exptA-FD-F_fod_zone_D_YYMMDD</vt:lpstr>
      <vt:lpstr>NON-FD-H_pc_od_zone_O_YYMMDD</vt:lpstr>
      <vt:lpstr>NON-FD-H_pc_od_zone_D_YYMMDD</vt:lpstr>
      <vt:lpstr>NON-FD-H_bus_od_zone_O_YYMMDD</vt:lpstr>
      <vt:lpstr>NON-FD-H_bus_od_zone_D_YYMMDD</vt:lpstr>
      <vt:lpstr>NON-FD-F_fod_zone_O_YYMMDD </vt:lpstr>
      <vt:lpstr>NON-FD-F_fod_zone_D_YYMMDD</vt:lpstr>
      <vt:lpstr>onlyA-FD-H_pc_od_zone_O_YYMMDD</vt:lpstr>
      <vt:lpstr>onlyA-FD-H_pc_od_zone_D_YYMMDD</vt:lpstr>
      <vt:lpstr>onlyA-FD-H_bus_od_zone_O_YYMMDD</vt:lpstr>
      <vt:lpstr>onlyA-FD-H_bus_od_zone_D_YYMMDD</vt:lpstr>
      <vt:lpstr>onlyA-FD-F_fod_zone_O_YYMMDD</vt:lpstr>
      <vt:lpstr>onlyA-FD-F_fod_zone_D_YYMMDD</vt:lpstr>
      <vt:lpstr>onlyB-FD-H_pc_od_zone_O_YYMMDD</vt:lpstr>
      <vt:lpstr>onlyB-FD-H_pc_od_zone_D_YYMMDD</vt:lpstr>
      <vt:lpstr>onlyB-FD-H_bus_od_zone_O_YYMMDD</vt:lpstr>
      <vt:lpstr>onlyB-FD-H_bus_od_zone_D_YYMMDD</vt:lpstr>
      <vt:lpstr>onlyB-FD-F_fod_zone_O_YYMMDD</vt:lpstr>
      <vt:lpstr>onlyB-FD-F_fod_zone_D_YYMMDD</vt:lpstr>
      <vt:lpstr>onlyC-FD-H_pc_od_zone_O_YYMMDD</vt:lpstr>
      <vt:lpstr>onlyC-FD-H_pc_od_zone_D_YYMMDD</vt:lpstr>
      <vt:lpstr>onlyC-FD-H_bus_od_zone_O_YYMMDD</vt:lpstr>
      <vt:lpstr>onlyC-FD-H_bus_od_zone_D_YYMMDD</vt:lpstr>
      <vt:lpstr>onlyC-FD-F_fod_zone_O_YYMMDD</vt:lpstr>
      <vt:lpstr>onlyC-FD-F_fod_zone_D_YYMMDD</vt:lpstr>
      <vt:lpstr>onlyD-FD-H_pc_od_zone_O_YYMMDD</vt:lpstr>
      <vt:lpstr>onlyD-FD-H_pc_od_zone_D_YYMMDD</vt:lpstr>
      <vt:lpstr>onlyD-FD-H_bus_od_zone_O_YYMMDD</vt:lpstr>
      <vt:lpstr>onlyD-FD-H_bus_od_zone_D_YYMMDD</vt:lpstr>
      <vt:lpstr>onlyD-FD-F_fod_zone_O_YYMMDD</vt:lpstr>
      <vt:lpstr>onlyD-FD-F_fod_zone_D_YYMMDD</vt:lpstr>
      <vt:lpstr>onlyE-FD-H_pc_od_zone_O_YYMMDD</vt:lpstr>
      <vt:lpstr>onlyE-FD-H_pc_od_zone_D_YYMMDD</vt:lpstr>
      <vt:lpstr>onlyE-FD-H_bus_od_zone_O_YYMMDD</vt:lpstr>
      <vt:lpstr>onlyE-FD-H_bus_od_zone_D_YYMMDD</vt:lpstr>
      <vt:lpstr>onlyE-FD-F_fod_zone_O_YYMMDD </vt:lpstr>
      <vt:lpstr>onlyE-FD-F_fod_zone_D_YYMMDD</vt:lpstr>
      <vt:lpstr>ALL-FD-H_pc_od_zone_O_YYMMDD</vt:lpstr>
      <vt:lpstr>ALL-FD-H_pc_od_zone_D_YYMMDD</vt:lpstr>
      <vt:lpstr>ALL-FD-H_bus_od_zone_O_YYMMDD</vt:lpstr>
      <vt:lpstr>ALL-FD-H_bus_od_zone_D_YYMMDD</vt:lpstr>
      <vt:lpstr>ALL-FD-F_fod_zone_O_YYMMDD</vt:lpstr>
      <vt:lpstr>ALL-FD-F_fod_zone_D_YYMMDD</vt:lpstr>
      <vt:lpstr>E.관광문화단지(849301)_수정</vt:lpstr>
      <vt:lpstr>D.cj라이브시티(849201)_수정</vt:lpstr>
      <vt:lpstr>C.장항공공주택지구(849992)</vt:lpstr>
      <vt:lpstr>B.고양영상밸리(849991)_수정</vt:lpstr>
      <vt:lpstr>A.일산테크노밸리(859991)_수정</vt:lpstr>
      <vt:lpstr>고양시_Modal_split</vt:lpstr>
      <vt:lpstr>고양시_재차인원</vt:lpstr>
      <vt:lpstr>KTDB_발생량도착량_증가율</vt:lpstr>
      <vt:lpstr>KTDB_TripDistribution_2040</vt:lpstr>
      <vt:lpstr>장항공공주택지구_통행량제외분</vt:lpstr>
      <vt:lpstr>S1</vt:lpstr>
      <vt:lpstr>일산테크노밸리</vt:lpstr>
      <vt:lpstr>고양영상밸리</vt:lpstr>
      <vt:lpstr>징힝공공주택지구</vt:lpstr>
      <vt:lpstr>cj라이브시티</vt:lpstr>
      <vt:lpstr>관광문화단지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2022-03-28T09:19:01Z</dcterms:modified>
</cp:coreProperties>
</file>